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imov_E_B\Desktop\Жилищник 2023\"/>
    </mc:Choice>
  </mc:AlternateContent>
  <bookViews>
    <workbookView xWindow="1395" yWindow="195" windowWidth="17685" windowHeight="100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M51" i="1"/>
  <c r="L51" i="1"/>
  <c r="J51" i="1"/>
  <c r="I51" i="1"/>
  <c r="M132" i="1"/>
  <c r="L132" i="1"/>
  <c r="J132" i="1"/>
  <c r="I132" i="1"/>
  <c r="M149" i="1"/>
  <c r="M151" i="1" s="1"/>
  <c r="L149" i="1"/>
  <c r="L151" i="1" s="1"/>
  <c r="J149" i="1"/>
  <c r="I149" i="1"/>
  <c r="O149" i="1" s="1"/>
  <c r="H151" i="1"/>
  <c r="G149" i="1"/>
  <c r="J151" i="1"/>
  <c r="F151" i="1"/>
  <c r="C151" i="1"/>
  <c r="D151" i="1"/>
  <c r="E149" i="1"/>
  <c r="E148" i="1"/>
  <c r="E151" i="1" s="1"/>
  <c r="L148" i="1"/>
  <c r="I148" i="1"/>
  <c r="M53" i="1"/>
  <c r="L53" i="1"/>
  <c r="J53" i="1"/>
  <c r="I53" i="1"/>
  <c r="M34" i="1"/>
  <c r="L34" i="1"/>
  <c r="J34" i="1"/>
  <c r="I34" i="1"/>
  <c r="M32" i="1"/>
  <c r="L32" i="1"/>
  <c r="J32" i="1"/>
  <c r="I32" i="1"/>
  <c r="M13" i="1"/>
  <c r="L13" i="1"/>
  <c r="J13" i="1"/>
  <c r="I13" i="1"/>
  <c r="M30" i="1"/>
  <c r="L30" i="1"/>
  <c r="J30" i="1"/>
  <c r="I30" i="1"/>
  <c r="M83" i="1"/>
  <c r="L83" i="1"/>
  <c r="J83" i="1"/>
  <c r="I83" i="1"/>
  <c r="M117" i="1"/>
  <c r="L117" i="1"/>
  <c r="J117" i="1"/>
  <c r="I117" i="1"/>
  <c r="M16" i="1"/>
  <c r="L16" i="1"/>
  <c r="J16" i="1"/>
  <c r="I16" i="1"/>
  <c r="M85" i="1"/>
  <c r="L85" i="1"/>
  <c r="J85" i="1"/>
  <c r="I85" i="1"/>
  <c r="M140" i="1"/>
  <c r="L140" i="1"/>
  <c r="J140" i="1"/>
  <c r="I140" i="1"/>
  <c r="M47" i="1"/>
  <c r="L47" i="1"/>
  <c r="J47" i="1"/>
  <c r="I47" i="1"/>
  <c r="M108" i="1"/>
  <c r="L108" i="1"/>
  <c r="J108" i="1"/>
  <c r="I108" i="1"/>
  <c r="M142" i="1"/>
  <c r="L142" i="1"/>
  <c r="J142" i="1"/>
  <c r="I142" i="1"/>
  <c r="M103" i="1"/>
  <c r="L103" i="1"/>
  <c r="J103" i="1"/>
  <c r="I103" i="1"/>
  <c r="M102" i="1"/>
  <c r="L102" i="1"/>
  <c r="J102" i="1"/>
  <c r="I102" i="1"/>
  <c r="M101" i="1"/>
  <c r="L101" i="1"/>
  <c r="J101" i="1"/>
  <c r="I101" i="1"/>
  <c r="M116" i="1"/>
  <c r="L116" i="1"/>
  <c r="J116" i="1"/>
  <c r="I116" i="1"/>
  <c r="M100" i="1"/>
  <c r="L100" i="1"/>
  <c r="J100" i="1"/>
  <c r="I100" i="1"/>
  <c r="M141" i="1"/>
  <c r="L141" i="1"/>
  <c r="J141" i="1"/>
  <c r="I141" i="1"/>
  <c r="M33" i="1"/>
  <c r="L33" i="1"/>
  <c r="J33" i="1"/>
  <c r="I33" i="1"/>
  <c r="M15" i="1"/>
  <c r="L15" i="1"/>
  <c r="J15" i="1"/>
  <c r="I15" i="1"/>
  <c r="M131" i="1"/>
  <c r="L131" i="1"/>
  <c r="J131" i="1"/>
  <c r="I131" i="1"/>
  <c r="M130" i="1"/>
  <c r="L130" i="1"/>
  <c r="J130" i="1"/>
  <c r="I130" i="1"/>
  <c r="M115" i="1"/>
  <c r="L115" i="1"/>
  <c r="J115" i="1"/>
  <c r="I115" i="1"/>
  <c r="M84" i="1"/>
  <c r="L84" i="1"/>
  <c r="J84" i="1"/>
  <c r="I84" i="1"/>
  <c r="M14" i="1"/>
  <c r="L14" i="1"/>
  <c r="J14" i="1"/>
  <c r="I14" i="1"/>
  <c r="M138" i="1"/>
  <c r="L138" i="1"/>
  <c r="J138" i="1"/>
  <c r="I138" i="1"/>
  <c r="M129" i="1"/>
  <c r="L129" i="1"/>
  <c r="J129" i="1"/>
  <c r="I129" i="1"/>
  <c r="M71" i="1"/>
  <c r="L71" i="1"/>
  <c r="J71" i="1"/>
  <c r="I71" i="1"/>
  <c r="M70" i="1"/>
  <c r="L70" i="1"/>
  <c r="J70" i="1"/>
  <c r="I70" i="1"/>
  <c r="M31" i="1"/>
  <c r="L31" i="1"/>
  <c r="J31" i="1"/>
  <c r="I31" i="1"/>
  <c r="M52" i="1"/>
  <c r="L52" i="1"/>
  <c r="J52" i="1"/>
  <c r="I52" i="1"/>
  <c r="M139" i="1"/>
  <c r="L139" i="1"/>
  <c r="J139" i="1"/>
  <c r="I139" i="1"/>
  <c r="M46" i="1"/>
  <c r="L46" i="1"/>
  <c r="J46" i="1"/>
  <c r="I46" i="1"/>
  <c r="M63" i="1"/>
  <c r="L63" i="1"/>
  <c r="J63" i="1"/>
  <c r="I63" i="1"/>
  <c r="M107" i="1"/>
  <c r="L107" i="1"/>
  <c r="J107" i="1"/>
  <c r="I107" i="1"/>
  <c r="M50" i="1"/>
  <c r="L50" i="1"/>
  <c r="J50" i="1"/>
  <c r="I50" i="1"/>
  <c r="M128" i="1"/>
  <c r="L128" i="1"/>
  <c r="J128" i="1"/>
  <c r="I128" i="1"/>
  <c r="M127" i="1"/>
  <c r="L127" i="1"/>
  <c r="J127" i="1"/>
  <c r="I127" i="1"/>
  <c r="M69" i="1"/>
  <c r="L69" i="1"/>
  <c r="J69" i="1"/>
  <c r="I69" i="1"/>
  <c r="M137" i="1"/>
  <c r="L137" i="1"/>
  <c r="J137" i="1"/>
  <c r="I137" i="1"/>
  <c r="M82" i="1"/>
  <c r="L82" i="1"/>
  <c r="J82" i="1"/>
  <c r="I82" i="1"/>
  <c r="M68" i="1"/>
  <c r="L68" i="1"/>
  <c r="J68" i="1"/>
  <c r="I68" i="1"/>
  <c r="M126" i="1"/>
  <c r="L126" i="1"/>
  <c r="J126" i="1"/>
  <c r="I126" i="1"/>
  <c r="M49" i="1"/>
  <c r="L49" i="1"/>
  <c r="J49" i="1"/>
  <c r="I49" i="1"/>
  <c r="M99" i="1"/>
  <c r="L99" i="1"/>
  <c r="J99" i="1"/>
  <c r="I99" i="1"/>
  <c r="M98" i="1"/>
  <c r="L98" i="1"/>
  <c r="J98" i="1"/>
  <c r="I98" i="1"/>
  <c r="M125" i="1"/>
  <c r="L125" i="1"/>
  <c r="J125" i="1"/>
  <c r="I125" i="1"/>
  <c r="M67" i="1"/>
  <c r="L67" i="1"/>
  <c r="J67" i="1"/>
  <c r="I67" i="1"/>
  <c r="M66" i="1"/>
  <c r="L66" i="1"/>
  <c r="J66" i="1"/>
  <c r="I66" i="1"/>
  <c r="M96" i="1"/>
  <c r="L96" i="1"/>
  <c r="J96" i="1"/>
  <c r="I96" i="1"/>
  <c r="M95" i="1"/>
  <c r="L95" i="1"/>
  <c r="J95" i="1"/>
  <c r="I95" i="1"/>
  <c r="M94" i="1"/>
  <c r="L94" i="1"/>
  <c r="J94" i="1"/>
  <c r="I94" i="1"/>
  <c r="M136" i="1"/>
  <c r="L136" i="1"/>
  <c r="J136" i="1"/>
  <c r="I136" i="1"/>
  <c r="M65" i="1"/>
  <c r="L65" i="1"/>
  <c r="J65" i="1"/>
  <c r="I65" i="1"/>
  <c r="M79" i="1"/>
  <c r="L79" i="1"/>
  <c r="J79" i="1"/>
  <c r="I79" i="1"/>
  <c r="M45" i="1"/>
  <c r="L45" i="1"/>
  <c r="J45" i="1"/>
  <c r="I45" i="1"/>
  <c r="M44" i="1"/>
  <c r="L44" i="1"/>
  <c r="J44" i="1"/>
  <c r="I44" i="1"/>
  <c r="M78" i="1"/>
  <c r="L78" i="1"/>
  <c r="J78" i="1"/>
  <c r="I78" i="1"/>
  <c r="M113" i="1"/>
  <c r="L113" i="1"/>
  <c r="J113" i="1"/>
  <c r="I113" i="1"/>
  <c r="M42" i="1"/>
  <c r="L42" i="1"/>
  <c r="J42" i="1"/>
  <c r="I42" i="1"/>
  <c r="M77" i="1"/>
  <c r="L77" i="1"/>
  <c r="J77" i="1"/>
  <c r="I77" i="1"/>
  <c r="M27" i="1"/>
  <c r="L27" i="1"/>
  <c r="M28" i="1"/>
  <c r="L28" i="1"/>
  <c r="J28" i="1"/>
  <c r="I28" i="1"/>
  <c r="M135" i="1"/>
  <c r="L135" i="1"/>
  <c r="J135" i="1"/>
  <c r="I135" i="1"/>
  <c r="M123" i="1"/>
  <c r="L123" i="1"/>
  <c r="J123" i="1"/>
  <c r="I123" i="1"/>
  <c r="M76" i="1"/>
  <c r="L76" i="1"/>
  <c r="J76" i="1"/>
  <c r="I76" i="1"/>
  <c r="M122" i="1"/>
  <c r="L122" i="1"/>
  <c r="J122" i="1"/>
  <c r="I122" i="1"/>
  <c r="M112" i="1"/>
  <c r="L112" i="1"/>
  <c r="J112" i="1"/>
  <c r="I112" i="1"/>
  <c r="M64" i="1"/>
  <c r="L64" i="1"/>
  <c r="J64" i="1"/>
  <c r="I64" i="1"/>
  <c r="J27" i="1"/>
  <c r="I27" i="1"/>
  <c r="M111" i="1"/>
  <c r="L111" i="1"/>
  <c r="J111" i="1"/>
  <c r="I111" i="1"/>
  <c r="M75" i="1"/>
  <c r="L75" i="1"/>
  <c r="J75" i="1"/>
  <c r="I75" i="1"/>
  <c r="M62" i="1"/>
  <c r="L62" i="1"/>
  <c r="J62" i="1"/>
  <c r="I62" i="1"/>
  <c r="M93" i="1"/>
  <c r="L93" i="1"/>
  <c r="J93" i="1"/>
  <c r="I93" i="1"/>
  <c r="M110" i="1"/>
  <c r="L110" i="1"/>
  <c r="J110" i="1"/>
  <c r="I110" i="1"/>
  <c r="M25" i="1"/>
  <c r="L25" i="1"/>
  <c r="J25" i="1"/>
  <c r="I25" i="1"/>
  <c r="M9" i="1"/>
  <c r="L9" i="1"/>
  <c r="J9" i="1"/>
  <c r="I9" i="1"/>
  <c r="M121" i="1"/>
  <c r="L121" i="1"/>
  <c r="J121" i="1"/>
  <c r="I121" i="1"/>
  <c r="M59" i="1"/>
  <c r="L59" i="1"/>
  <c r="J59" i="1"/>
  <c r="I59" i="1"/>
  <c r="M58" i="1"/>
  <c r="L58" i="1"/>
  <c r="J58" i="1"/>
  <c r="I58" i="1"/>
  <c r="M61" i="1"/>
  <c r="L61" i="1"/>
  <c r="J61" i="1"/>
  <c r="I61" i="1"/>
  <c r="M24" i="1"/>
  <c r="L24" i="1"/>
  <c r="J24" i="1"/>
  <c r="I24" i="1"/>
  <c r="M22" i="1"/>
  <c r="L22" i="1"/>
  <c r="J22" i="1"/>
  <c r="I22" i="1"/>
  <c r="M120" i="1"/>
  <c r="L120" i="1"/>
  <c r="J120" i="1"/>
  <c r="I120" i="1"/>
  <c r="M57" i="1"/>
  <c r="L57" i="1"/>
  <c r="J57" i="1"/>
  <c r="I57" i="1"/>
  <c r="M90" i="1"/>
  <c r="L90" i="1"/>
  <c r="J90" i="1"/>
  <c r="I90" i="1"/>
  <c r="M56" i="1"/>
  <c r="L56" i="1"/>
  <c r="N56" i="1" s="1"/>
  <c r="J56" i="1"/>
  <c r="I56" i="1"/>
  <c r="G56" i="1"/>
  <c r="G57" i="1"/>
  <c r="E56" i="1"/>
  <c r="M89" i="1"/>
  <c r="L89" i="1"/>
  <c r="J89" i="1"/>
  <c r="I89" i="1"/>
  <c r="M88" i="1"/>
  <c r="L88" i="1"/>
  <c r="J88" i="1"/>
  <c r="I88" i="1"/>
  <c r="M40" i="1"/>
  <c r="L40" i="1"/>
  <c r="J40" i="1"/>
  <c r="I40" i="1"/>
  <c r="M20" i="1"/>
  <c r="L20" i="1"/>
  <c r="J20" i="1"/>
  <c r="I20" i="1"/>
  <c r="M19" i="1"/>
  <c r="L19" i="1"/>
  <c r="J19" i="1"/>
  <c r="I19" i="1"/>
  <c r="M7" i="1"/>
  <c r="L7" i="1"/>
  <c r="J7" i="1"/>
  <c r="I7" i="1"/>
  <c r="P7" i="1" s="1"/>
  <c r="M106" i="1"/>
  <c r="L106" i="1"/>
  <c r="J106" i="1"/>
  <c r="I106" i="1"/>
  <c r="M12" i="1"/>
  <c r="L12" i="1"/>
  <c r="J12" i="1"/>
  <c r="I12" i="1"/>
  <c r="M48" i="1"/>
  <c r="L48" i="1"/>
  <c r="J48" i="1"/>
  <c r="I48" i="1"/>
  <c r="M114" i="1"/>
  <c r="L114" i="1"/>
  <c r="J114" i="1"/>
  <c r="I114" i="1"/>
  <c r="M81" i="1"/>
  <c r="L81" i="1"/>
  <c r="J81" i="1"/>
  <c r="I81" i="1"/>
  <c r="M97" i="1"/>
  <c r="L97" i="1"/>
  <c r="J97" i="1"/>
  <c r="I97" i="1"/>
  <c r="M29" i="1"/>
  <c r="L29" i="1"/>
  <c r="J29" i="1"/>
  <c r="I29" i="1"/>
  <c r="M124" i="1"/>
  <c r="L124" i="1"/>
  <c r="J124" i="1"/>
  <c r="I124" i="1"/>
  <c r="M11" i="1"/>
  <c r="L11" i="1"/>
  <c r="J11" i="1"/>
  <c r="I11" i="1"/>
  <c r="M43" i="1"/>
  <c r="L43" i="1"/>
  <c r="J43" i="1"/>
  <c r="I43" i="1"/>
  <c r="M10" i="1"/>
  <c r="L10" i="1"/>
  <c r="J10" i="1"/>
  <c r="I10" i="1"/>
  <c r="M60" i="1"/>
  <c r="L60" i="1"/>
  <c r="J60" i="1"/>
  <c r="I60" i="1"/>
  <c r="M145" i="1"/>
  <c r="L145" i="1"/>
  <c r="J145" i="1"/>
  <c r="I145" i="1"/>
  <c r="M92" i="1"/>
  <c r="L92" i="1"/>
  <c r="J92" i="1"/>
  <c r="I92" i="1"/>
  <c r="M26" i="1"/>
  <c r="L26" i="1"/>
  <c r="J26" i="1"/>
  <c r="I26" i="1"/>
  <c r="M91" i="1"/>
  <c r="L91" i="1"/>
  <c r="J91" i="1"/>
  <c r="I91" i="1"/>
  <c r="M23" i="1"/>
  <c r="L23" i="1"/>
  <c r="J23" i="1"/>
  <c r="I23" i="1"/>
  <c r="M109" i="1"/>
  <c r="L109" i="1"/>
  <c r="J109" i="1"/>
  <c r="I109" i="1"/>
  <c r="M74" i="1"/>
  <c r="L74" i="1"/>
  <c r="J74" i="1"/>
  <c r="I74" i="1"/>
  <c r="M41" i="1"/>
  <c r="L41" i="1"/>
  <c r="J41" i="1"/>
  <c r="I41" i="1"/>
  <c r="M21" i="1"/>
  <c r="L21" i="1"/>
  <c r="J21" i="1"/>
  <c r="I21" i="1"/>
  <c r="O21" i="1" s="1"/>
  <c r="P56" i="1" l="1"/>
  <c r="P149" i="1"/>
  <c r="I151" i="1"/>
  <c r="N88" i="1"/>
  <c r="K149" i="1"/>
  <c r="K151" i="1" s="1"/>
  <c r="K56" i="1"/>
  <c r="N149" i="1"/>
  <c r="N151" i="1" s="1"/>
  <c r="O56" i="1"/>
  <c r="L54" i="1"/>
  <c r="I54" i="1"/>
  <c r="O9" i="1"/>
  <c r="O37" i="1"/>
  <c r="E8" i="1"/>
  <c r="P91" i="1"/>
  <c r="P37" i="1"/>
  <c r="N145" i="1"/>
  <c r="N146" i="1" s="1"/>
  <c r="N136" i="1"/>
  <c r="N137" i="1"/>
  <c r="N138" i="1"/>
  <c r="N139" i="1"/>
  <c r="N140" i="1"/>
  <c r="N141" i="1"/>
  <c r="N142" i="1"/>
  <c r="N135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20" i="1"/>
  <c r="N107" i="1"/>
  <c r="N108" i="1"/>
  <c r="N109" i="1"/>
  <c r="N110" i="1"/>
  <c r="N111" i="1"/>
  <c r="N112" i="1"/>
  <c r="N113" i="1"/>
  <c r="N114" i="1"/>
  <c r="N115" i="1"/>
  <c r="N116" i="1"/>
  <c r="N117" i="1"/>
  <c r="N106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75" i="1"/>
  <c r="N76" i="1"/>
  <c r="N77" i="1"/>
  <c r="N78" i="1"/>
  <c r="N79" i="1"/>
  <c r="N81" i="1"/>
  <c r="N82" i="1"/>
  <c r="N83" i="1"/>
  <c r="N84" i="1"/>
  <c r="N85" i="1"/>
  <c r="N74" i="1"/>
  <c r="K145" i="1"/>
  <c r="K146" i="1" s="1"/>
  <c r="K136" i="1"/>
  <c r="K137" i="1"/>
  <c r="K138" i="1"/>
  <c r="K139" i="1"/>
  <c r="K140" i="1"/>
  <c r="K141" i="1"/>
  <c r="K142" i="1"/>
  <c r="K135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20" i="1"/>
  <c r="K107" i="1"/>
  <c r="K108" i="1"/>
  <c r="K109" i="1"/>
  <c r="K110" i="1"/>
  <c r="K111" i="1"/>
  <c r="K112" i="1"/>
  <c r="K113" i="1"/>
  <c r="K114" i="1"/>
  <c r="K115" i="1"/>
  <c r="K116" i="1"/>
  <c r="K117" i="1"/>
  <c r="K106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88" i="1"/>
  <c r="K75" i="1"/>
  <c r="K76" i="1"/>
  <c r="K77" i="1"/>
  <c r="K78" i="1"/>
  <c r="K79" i="1"/>
  <c r="K81" i="1"/>
  <c r="K82" i="1"/>
  <c r="K83" i="1"/>
  <c r="K84" i="1"/>
  <c r="K85" i="1"/>
  <c r="K74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N34" i="1"/>
  <c r="N20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9" i="1"/>
  <c r="O7" i="1"/>
  <c r="N9" i="1"/>
  <c r="N10" i="1"/>
  <c r="N11" i="1"/>
  <c r="N12" i="1"/>
  <c r="N13" i="1"/>
  <c r="N14" i="1"/>
  <c r="N15" i="1"/>
  <c r="N16" i="1"/>
  <c r="N7" i="1"/>
  <c r="K7" i="1"/>
  <c r="K8" i="1"/>
  <c r="K9" i="1"/>
  <c r="K10" i="1"/>
  <c r="K11" i="1"/>
  <c r="K12" i="1"/>
  <c r="K13" i="1"/>
  <c r="K14" i="1"/>
  <c r="K15" i="1"/>
  <c r="K16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37" i="1"/>
  <c r="P148" i="1"/>
  <c r="P151" i="1" s="1"/>
  <c r="P145" i="1"/>
  <c r="P146" i="1" s="1"/>
  <c r="P136" i="1"/>
  <c r="P137" i="1"/>
  <c r="P138" i="1"/>
  <c r="P139" i="1"/>
  <c r="P140" i="1"/>
  <c r="P141" i="1"/>
  <c r="P142" i="1"/>
  <c r="P135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20" i="1"/>
  <c r="P107" i="1"/>
  <c r="P108" i="1"/>
  <c r="P109" i="1"/>
  <c r="P110" i="1"/>
  <c r="P111" i="1"/>
  <c r="P112" i="1"/>
  <c r="P113" i="1"/>
  <c r="P114" i="1"/>
  <c r="P115" i="1"/>
  <c r="P116" i="1"/>
  <c r="P117" i="1"/>
  <c r="P106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88" i="1"/>
  <c r="P75" i="1"/>
  <c r="P76" i="1"/>
  <c r="P77" i="1"/>
  <c r="P78" i="1"/>
  <c r="P79" i="1"/>
  <c r="P81" i="1"/>
  <c r="P82" i="1"/>
  <c r="P83" i="1"/>
  <c r="P84" i="1"/>
  <c r="P85" i="1"/>
  <c r="P74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19" i="1"/>
  <c r="P8" i="1"/>
  <c r="P9" i="1"/>
  <c r="P10" i="1"/>
  <c r="P11" i="1"/>
  <c r="P12" i="1"/>
  <c r="P13" i="1"/>
  <c r="P14" i="1"/>
  <c r="P15" i="1"/>
  <c r="P16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C146" i="1"/>
  <c r="D146" i="1"/>
  <c r="F146" i="1"/>
  <c r="H146" i="1"/>
  <c r="I146" i="1"/>
  <c r="J146" i="1"/>
  <c r="L146" i="1"/>
  <c r="M146" i="1"/>
  <c r="C143" i="1"/>
  <c r="D143" i="1"/>
  <c r="F143" i="1"/>
  <c r="H143" i="1"/>
  <c r="I143" i="1"/>
  <c r="J143" i="1"/>
  <c r="L143" i="1"/>
  <c r="M143" i="1"/>
  <c r="C133" i="1"/>
  <c r="D133" i="1"/>
  <c r="F133" i="1"/>
  <c r="H133" i="1"/>
  <c r="I133" i="1"/>
  <c r="J133" i="1"/>
  <c r="L133" i="1"/>
  <c r="M133" i="1"/>
  <c r="C118" i="1"/>
  <c r="D118" i="1"/>
  <c r="F118" i="1"/>
  <c r="H118" i="1"/>
  <c r="I118" i="1"/>
  <c r="J118" i="1"/>
  <c r="L118" i="1"/>
  <c r="M118" i="1"/>
  <c r="C104" i="1"/>
  <c r="D104" i="1"/>
  <c r="F104" i="1"/>
  <c r="H104" i="1"/>
  <c r="I104" i="1"/>
  <c r="J104" i="1"/>
  <c r="L104" i="1"/>
  <c r="M104" i="1"/>
  <c r="C86" i="1"/>
  <c r="D86" i="1"/>
  <c r="F86" i="1"/>
  <c r="H86" i="1"/>
  <c r="I86" i="1"/>
  <c r="J86" i="1"/>
  <c r="L86" i="1"/>
  <c r="M86" i="1"/>
  <c r="C72" i="1"/>
  <c r="D72" i="1"/>
  <c r="F72" i="1"/>
  <c r="H72" i="1"/>
  <c r="I72" i="1"/>
  <c r="J72" i="1"/>
  <c r="L72" i="1"/>
  <c r="M72" i="1"/>
  <c r="C54" i="1"/>
  <c r="D54" i="1"/>
  <c r="F54" i="1"/>
  <c r="H54" i="1"/>
  <c r="J54" i="1"/>
  <c r="M54" i="1"/>
  <c r="C35" i="1"/>
  <c r="D35" i="1"/>
  <c r="F35" i="1"/>
  <c r="H35" i="1"/>
  <c r="I35" i="1"/>
  <c r="J35" i="1"/>
  <c r="L35" i="1"/>
  <c r="M35" i="1"/>
  <c r="C17" i="1"/>
  <c r="D17" i="1"/>
  <c r="F17" i="1"/>
  <c r="H17" i="1"/>
  <c r="I17" i="1"/>
  <c r="J17" i="1"/>
  <c r="L17" i="1"/>
  <c r="M17" i="1"/>
  <c r="G19" i="1"/>
  <c r="O19" i="1"/>
  <c r="G20" i="1"/>
  <c r="O20" i="1"/>
  <c r="G21" i="1"/>
  <c r="G22" i="1"/>
  <c r="O22" i="1"/>
  <c r="G23" i="1"/>
  <c r="O23" i="1"/>
  <c r="G24" i="1"/>
  <c r="O24" i="1"/>
  <c r="G25" i="1"/>
  <c r="O25" i="1"/>
  <c r="G26" i="1"/>
  <c r="O26" i="1"/>
  <c r="G27" i="1"/>
  <c r="O27" i="1"/>
  <c r="G28" i="1"/>
  <c r="O28" i="1"/>
  <c r="G29" i="1"/>
  <c r="O29" i="1"/>
  <c r="G30" i="1"/>
  <c r="O30" i="1"/>
  <c r="G31" i="1"/>
  <c r="O31" i="1"/>
  <c r="G32" i="1"/>
  <c r="O32" i="1"/>
  <c r="G33" i="1"/>
  <c r="O33" i="1"/>
  <c r="G34" i="1"/>
  <c r="O34" i="1"/>
  <c r="G37" i="1"/>
  <c r="G38" i="1"/>
  <c r="O38" i="1"/>
  <c r="G39" i="1"/>
  <c r="O39" i="1"/>
  <c r="G40" i="1"/>
  <c r="O40" i="1"/>
  <c r="G41" i="1"/>
  <c r="O41" i="1"/>
  <c r="G42" i="1"/>
  <c r="O42" i="1"/>
  <c r="G43" i="1"/>
  <c r="O43" i="1"/>
  <c r="G44" i="1"/>
  <c r="O44" i="1"/>
  <c r="G45" i="1"/>
  <c r="O45" i="1"/>
  <c r="G46" i="1"/>
  <c r="O46" i="1"/>
  <c r="G47" i="1"/>
  <c r="O47" i="1"/>
  <c r="G48" i="1"/>
  <c r="O48" i="1"/>
  <c r="G49" i="1"/>
  <c r="O49" i="1"/>
  <c r="G50" i="1"/>
  <c r="O50" i="1"/>
  <c r="G51" i="1"/>
  <c r="O51" i="1"/>
  <c r="G52" i="1"/>
  <c r="O52" i="1"/>
  <c r="G53" i="1"/>
  <c r="O53" i="1"/>
  <c r="O57" i="1"/>
  <c r="G58" i="1"/>
  <c r="O58" i="1"/>
  <c r="G59" i="1"/>
  <c r="O59" i="1"/>
  <c r="G60" i="1"/>
  <c r="O60" i="1"/>
  <c r="G61" i="1"/>
  <c r="O61" i="1"/>
  <c r="G62" i="1"/>
  <c r="O62" i="1"/>
  <c r="G63" i="1"/>
  <c r="O63" i="1"/>
  <c r="G64" i="1"/>
  <c r="O64" i="1"/>
  <c r="G65" i="1"/>
  <c r="O65" i="1"/>
  <c r="G66" i="1"/>
  <c r="O66" i="1"/>
  <c r="G67" i="1"/>
  <c r="O67" i="1"/>
  <c r="G68" i="1"/>
  <c r="O68" i="1"/>
  <c r="G69" i="1"/>
  <c r="O69" i="1"/>
  <c r="G70" i="1"/>
  <c r="O70" i="1"/>
  <c r="G71" i="1"/>
  <c r="O71" i="1"/>
  <c r="G74" i="1"/>
  <c r="O74" i="1"/>
  <c r="G75" i="1"/>
  <c r="O75" i="1"/>
  <c r="G76" i="1"/>
  <c r="O76" i="1"/>
  <c r="G77" i="1"/>
  <c r="O77" i="1"/>
  <c r="G78" i="1"/>
  <c r="O78" i="1"/>
  <c r="G79" i="1"/>
  <c r="O79" i="1"/>
  <c r="G81" i="1"/>
  <c r="O81" i="1"/>
  <c r="G82" i="1"/>
  <c r="O82" i="1"/>
  <c r="G83" i="1"/>
  <c r="O83" i="1"/>
  <c r="G84" i="1"/>
  <c r="O84" i="1"/>
  <c r="G85" i="1"/>
  <c r="O85" i="1"/>
  <c r="G88" i="1"/>
  <c r="O88" i="1"/>
  <c r="G89" i="1"/>
  <c r="O89" i="1"/>
  <c r="G90" i="1"/>
  <c r="O90" i="1"/>
  <c r="G91" i="1"/>
  <c r="O91" i="1"/>
  <c r="G92" i="1"/>
  <c r="O92" i="1"/>
  <c r="G93" i="1"/>
  <c r="O93" i="1"/>
  <c r="G94" i="1"/>
  <c r="O94" i="1"/>
  <c r="G95" i="1"/>
  <c r="O95" i="1"/>
  <c r="G96" i="1"/>
  <c r="O96" i="1"/>
  <c r="G97" i="1"/>
  <c r="O97" i="1"/>
  <c r="G98" i="1"/>
  <c r="O98" i="1"/>
  <c r="G99" i="1"/>
  <c r="O99" i="1"/>
  <c r="G100" i="1"/>
  <c r="O100" i="1"/>
  <c r="G101" i="1"/>
  <c r="O101" i="1"/>
  <c r="G102" i="1"/>
  <c r="O102" i="1"/>
  <c r="G103" i="1"/>
  <c r="O103" i="1"/>
  <c r="G106" i="1"/>
  <c r="O106" i="1"/>
  <c r="G107" i="1"/>
  <c r="O107" i="1"/>
  <c r="G108" i="1"/>
  <c r="O108" i="1"/>
  <c r="G109" i="1"/>
  <c r="O109" i="1"/>
  <c r="G110" i="1"/>
  <c r="O110" i="1"/>
  <c r="G111" i="1"/>
  <c r="O111" i="1"/>
  <c r="G112" i="1"/>
  <c r="O112" i="1"/>
  <c r="G113" i="1"/>
  <c r="O113" i="1"/>
  <c r="G114" i="1"/>
  <c r="O114" i="1"/>
  <c r="G115" i="1"/>
  <c r="O115" i="1"/>
  <c r="G116" i="1"/>
  <c r="O116" i="1"/>
  <c r="G117" i="1"/>
  <c r="O117" i="1"/>
  <c r="G120" i="1"/>
  <c r="O120" i="1"/>
  <c r="G121" i="1"/>
  <c r="O121" i="1"/>
  <c r="G122" i="1"/>
  <c r="O122" i="1"/>
  <c r="G123" i="1"/>
  <c r="O123" i="1"/>
  <c r="G124" i="1"/>
  <c r="O124" i="1"/>
  <c r="G125" i="1"/>
  <c r="O125" i="1"/>
  <c r="G126" i="1"/>
  <c r="O126" i="1"/>
  <c r="G127" i="1"/>
  <c r="O127" i="1"/>
  <c r="G128" i="1"/>
  <c r="O128" i="1"/>
  <c r="G129" i="1"/>
  <c r="O129" i="1"/>
  <c r="G130" i="1"/>
  <c r="O130" i="1"/>
  <c r="G131" i="1"/>
  <c r="O131" i="1"/>
  <c r="G132" i="1"/>
  <c r="O132" i="1"/>
  <c r="G135" i="1"/>
  <c r="O135" i="1"/>
  <c r="G136" i="1"/>
  <c r="O136" i="1"/>
  <c r="G137" i="1"/>
  <c r="O137" i="1"/>
  <c r="G138" i="1"/>
  <c r="O138" i="1"/>
  <c r="G139" i="1"/>
  <c r="O139" i="1"/>
  <c r="G140" i="1"/>
  <c r="O140" i="1"/>
  <c r="G141" i="1"/>
  <c r="O141" i="1"/>
  <c r="G142" i="1"/>
  <c r="O142" i="1"/>
  <c r="G145" i="1"/>
  <c r="G146" i="1" s="1"/>
  <c r="O145" i="1"/>
  <c r="O146" i="1" s="1"/>
  <c r="G148" i="1"/>
  <c r="G151" i="1" s="1"/>
  <c r="O148" i="1"/>
  <c r="O151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1" i="1"/>
  <c r="E82" i="1"/>
  <c r="E83" i="1"/>
  <c r="E84" i="1"/>
  <c r="E8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145" i="1"/>
  <c r="E146" i="1" s="1"/>
  <c r="O8" i="1"/>
  <c r="O10" i="1"/>
  <c r="O11" i="1"/>
  <c r="O12" i="1"/>
  <c r="O13" i="1"/>
  <c r="O14" i="1"/>
  <c r="O15" i="1"/>
  <c r="O16" i="1"/>
  <c r="G8" i="1"/>
  <c r="G9" i="1"/>
  <c r="G10" i="1"/>
  <c r="G11" i="1"/>
  <c r="G12" i="1"/>
  <c r="G13" i="1"/>
  <c r="G14" i="1"/>
  <c r="G15" i="1"/>
  <c r="G16" i="1"/>
  <c r="E9" i="1"/>
  <c r="E10" i="1"/>
  <c r="E11" i="1"/>
  <c r="E12" i="1"/>
  <c r="E13" i="1"/>
  <c r="E14" i="1"/>
  <c r="E15" i="1"/>
  <c r="E16" i="1"/>
  <c r="G7" i="1"/>
  <c r="E7" i="1"/>
  <c r="N17" i="1" l="1"/>
  <c r="N118" i="1"/>
  <c r="N72" i="1"/>
  <c r="K72" i="1"/>
  <c r="K118" i="1"/>
  <c r="O118" i="1"/>
  <c r="N143" i="1"/>
  <c r="K143" i="1"/>
  <c r="G143" i="1"/>
  <c r="E143" i="1"/>
  <c r="N86" i="1"/>
  <c r="O143" i="1"/>
  <c r="N133" i="1"/>
  <c r="K133" i="1"/>
  <c r="O133" i="1"/>
  <c r="K86" i="1"/>
  <c r="E133" i="1"/>
  <c r="G133" i="1"/>
  <c r="G72" i="1"/>
  <c r="O72" i="1"/>
  <c r="E72" i="1"/>
  <c r="E17" i="1"/>
  <c r="K35" i="1"/>
  <c r="G104" i="1"/>
  <c r="G86" i="1"/>
  <c r="K104" i="1"/>
  <c r="N104" i="1"/>
  <c r="E86" i="1"/>
  <c r="K17" i="1"/>
  <c r="E118" i="1"/>
  <c r="G17" i="1"/>
  <c r="N35" i="1"/>
  <c r="G118" i="1"/>
  <c r="O17" i="1"/>
  <c r="O104" i="1"/>
  <c r="E104" i="1"/>
  <c r="O35" i="1"/>
  <c r="G35" i="1"/>
  <c r="E35" i="1"/>
  <c r="O86" i="1"/>
  <c r="M5" i="1"/>
  <c r="L5" i="1"/>
  <c r="I5" i="1"/>
  <c r="F5" i="1"/>
  <c r="D5" i="1"/>
  <c r="C5" i="1"/>
  <c r="J5" i="1"/>
  <c r="H5" i="1"/>
  <c r="N54" i="1"/>
  <c r="O54" i="1"/>
  <c r="K54" i="1"/>
  <c r="G54" i="1"/>
  <c r="P143" i="1"/>
  <c r="P133" i="1"/>
  <c r="P72" i="1"/>
  <c r="P17" i="1"/>
  <c r="E54" i="1"/>
  <c r="P118" i="1"/>
  <c r="P104" i="1"/>
  <c r="P86" i="1"/>
  <c r="P54" i="1"/>
  <c r="P35" i="1"/>
  <c r="N5" i="1" l="1"/>
  <c r="G5" i="1"/>
  <c r="K5" i="1"/>
  <c r="O5" i="1"/>
  <c r="E5" i="1"/>
  <c r="P5" i="1"/>
</calcChain>
</file>

<file path=xl/comments1.xml><?xml version="1.0" encoding="utf-8"?>
<comments xmlns="http://schemas.openxmlformats.org/spreadsheetml/2006/main">
  <authors>
    <author>Eva Akrachkova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 гг.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
 гг.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
 гг.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
 гг.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
 гг.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 гг.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2019 и 2020 гг.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2021 и 2022 гг.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Данные за 2021 и 2022 гг.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По другим районам информация отсутствует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152" authorId="0" shapeId="0">
      <text>
        <r>
          <rPr>
            <b/>
            <sz val="9"/>
            <color indexed="81"/>
            <rFont val="Tahoma"/>
            <family val="2"/>
            <charset val="204"/>
          </rPr>
          <t>Eva Akrachkova: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</commentList>
</comments>
</file>

<file path=xl/sharedStrings.xml><?xml version="1.0" encoding="utf-8"?>
<sst xmlns="http://schemas.openxmlformats.org/spreadsheetml/2006/main" count="174" uniqueCount="172">
  <si>
    <t>СВАО</t>
  </si>
  <si>
    <t>Алексеевский</t>
  </si>
  <si>
    <t>Динамика кредиторской задолженности, %</t>
  </si>
  <si>
    <t>Динамика дебиторской задолженности, %</t>
  </si>
  <si>
    <t>Расходы ФОТ, 2021 г.</t>
  </si>
  <si>
    <t>Закупка товаров, 2021 г.</t>
  </si>
  <si>
    <t>Прибыль, 2021 г.</t>
  </si>
  <si>
    <t>Кредиторская задолженность, 2021 г.</t>
  </si>
  <si>
    <t>Кредиторская задолженность, 2020 г.</t>
  </si>
  <si>
    <t>Дебиторская задолженность, 2021 г.</t>
  </si>
  <si>
    <t>Дебиторская задолженность, 2020 г.</t>
  </si>
  <si>
    <t>Соотношение (Кредиторка-Дебиторка) к выручке, 2021 г.</t>
  </si>
  <si>
    <t>Доля закупки товаров в выручке, 2021 г.</t>
  </si>
  <si>
    <t>Доля ФОТ в выручке, 2021 г.</t>
  </si>
  <si>
    <t>Соотношение Кредиторки к Дебиторке, 2021 г.</t>
  </si>
  <si>
    <t>Выручка, 2021 г.</t>
  </si>
  <si>
    <t>В среднем по городу</t>
  </si>
  <si>
    <t>Алтуфьевский</t>
  </si>
  <si>
    <t>Бабушкинский</t>
  </si>
  <si>
    <t>Бибирево</t>
  </si>
  <si>
    <t>Бутырский</t>
  </si>
  <si>
    <t>Лианозово</t>
  </si>
  <si>
    <t>Лосиноостровский</t>
  </si>
  <si>
    <t>Марфино</t>
  </si>
  <si>
    <t>Марьина роща</t>
  </si>
  <si>
    <t>Медведково Северное</t>
  </si>
  <si>
    <t>Медведково Южное</t>
  </si>
  <si>
    <t>Останкинский</t>
  </si>
  <si>
    <t>Отрадное</t>
  </si>
  <si>
    <t>Ростокино</t>
  </si>
  <si>
    <t>Свиблово</t>
  </si>
  <si>
    <t>Северный</t>
  </si>
  <si>
    <t>Ярославский</t>
  </si>
  <si>
    <t>Округ</t>
  </si>
  <si>
    <t>№</t>
  </si>
  <si>
    <t>Среднее по СВАО</t>
  </si>
  <si>
    <t>ЦАО</t>
  </si>
  <si>
    <t>Арбат</t>
  </si>
  <si>
    <t>Басманный</t>
  </si>
  <si>
    <t>Замоскворечье</t>
  </si>
  <si>
    <t>Красносельский</t>
  </si>
  <si>
    <t>Мещанский</t>
  </si>
  <si>
    <t>Пресненский</t>
  </si>
  <si>
    <t>Таганский</t>
  </si>
  <si>
    <t>Тверской</t>
  </si>
  <si>
    <t>Хамовники</t>
  </si>
  <si>
    <t>Якиманка</t>
  </si>
  <si>
    <t>САО</t>
  </si>
  <si>
    <t>Аэропорт</t>
  </si>
  <si>
    <t>Беговой</t>
  </si>
  <si>
    <t>Бескудниковский</t>
  </si>
  <si>
    <t>Войковский</t>
  </si>
  <si>
    <t>Головинский</t>
  </si>
  <si>
    <t>Дегунино-Восточное</t>
  </si>
  <si>
    <t>Дегунино-Западное</t>
  </si>
  <si>
    <t>Дмитровский</t>
  </si>
  <si>
    <t>Левобережный</t>
  </si>
  <si>
    <t>Молжаниновский</t>
  </si>
  <si>
    <t>Савеловский</t>
  </si>
  <si>
    <t>Сокол</t>
  </si>
  <si>
    <t>Тимирязевский</t>
  </si>
  <si>
    <t>Ховрино</t>
  </si>
  <si>
    <t>Хорошевский</t>
  </si>
  <si>
    <t>Среднее по ЦАО</t>
  </si>
  <si>
    <t>Среднее по САО</t>
  </si>
  <si>
    <t>ВАО</t>
  </si>
  <si>
    <t>Восточный</t>
  </si>
  <si>
    <t>Вешняки</t>
  </si>
  <si>
    <t>Гольяново</t>
  </si>
  <si>
    <t>Ивановское</t>
  </si>
  <si>
    <t>Измайлово Восточное</t>
  </si>
  <si>
    <t xml:space="preserve">Измайлово </t>
  </si>
  <si>
    <t>Измайлово Северное</t>
  </si>
  <si>
    <t>Косино-Ухтомский</t>
  </si>
  <si>
    <t>Метрогородок</t>
  </si>
  <si>
    <t>Новогиреево</t>
  </si>
  <si>
    <t>Новокосино</t>
  </si>
  <si>
    <t>Перово</t>
  </si>
  <si>
    <t>Преображенское</t>
  </si>
  <si>
    <t>Соколиная гора</t>
  </si>
  <si>
    <t>Сокольники</t>
  </si>
  <si>
    <t>Среднее по ВАО</t>
  </si>
  <si>
    <t>ЮВАО</t>
  </si>
  <si>
    <t>Выхино-Жулебино</t>
  </si>
  <si>
    <t>Капотня</t>
  </si>
  <si>
    <t>Кузьминки</t>
  </si>
  <si>
    <t>Лефортово</t>
  </si>
  <si>
    <t>Люблино</t>
  </si>
  <si>
    <t>Марьино</t>
  </si>
  <si>
    <t>Некрасовка</t>
  </si>
  <si>
    <t>Нижегородский</t>
  </si>
  <si>
    <t>Печатники</t>
  </si>
  <si>
    <t>Рязанский</t>
  </si>
  <si>
    <t>Текстильщики</t>
  </si>
  <si>
    <t>Южнопортовый</t>
  </si>
  <si>
    <t>Среднее по ЮВАО</t>
  </si>
  <si>
    <t>ЮАО</t>
  </si>
  <si>
    <t>Бирюлево Восточное</t>
  </si>
  <si>
    <t>Братеево</t>
  </si>
  <si>
    <t>Бирюлево Западное</t>
  </si>
  <si>
    <t>Даниловский</t>
  </si>
  <si>
    <t>Донской</t>
  </si>
  <si>
    <t>Зябликово</t>
  </si>
  <si>
    <t>Москворечье-Сабурово</t>
  </si>
  <si>
    <t>Нагатино-Садовники</t>
  </si>
  <si>
    <t>Нагатинский затон</t>
  </si>
  <si>
    <t>Нагорный</t>
  </si>
  <si>
    <t>Орехово-Борисово Северное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</si>
  <si>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</si>
  <si>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</si>
  <si>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</si>
  <si>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</si>
  <si>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</si>
  <si>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Среднее по ЮАО</t>
  </si>
  <si>
    <t>ЮЗАО</t>
  </si>
  <si>
    <t>Академический</t>
  </si>
  <si>
    <t>Бутово Северное</t>
  </si>
  <si>
    <t>Бутово Южное</t>
  </si>
  <si>
    <t>Гагаринский</t>
  </si>
  <si>
    <t>Зюзино</t>
  </si>
  <si>
    <t>Коньково</t>
  </si>
  <si>
    <t>Котловка</t>
  </si>
  <si>
    <t>Ломоносовский</t>
  </si>
  <si>
    <t>Обручевский</t>
  </si>
  <si>
    <t>Теплый Стан</t>
  </si>
  <si>
    <t>Черемушки</t>
  </si>
  <si>
    <t>Ясенево</t>
  </si>
  <si>
    <t>Среднее по ЮЗАО</t>
  </si>
  <si>
    <t>ЗАО</t>
  </si>
  <si>
    <t>Внуково</t>
  </si>
  <si>
    <t>Дорогомилово</t>
  </si>
  <si>
    <t>Крылатское</t>
  </si>
  <si>
    <t>Кунцево</t>
  </si>
  <si>
    <t>Можайский</t>
  </si>
  <si>
    <t>Ново-Переделкино</t>
  </si>
  <si>
    <t>Очаково-Матвеевское</t>
  </si>
  <si>
    <t>Проспект Вернадского</t>
  </si>
  <si>
    <t>Раменки</t>
  </si>
  <si>
    <t>Солнцево</t>
  </si>
  <si>
    <t>Тропарево-Никулино</t>
  </si>
  <si>
    <t>Филевский парк</t>
  </si>
  <si>
    <t>Фили-Давыдково</t>
  </si>
  <si>
    <t>Среднее по ЗАО</t>
  </si>
  <si>
    <t>СЗАО</t>
  </si>
  <si>
    <t>Куркино</t>
  </si>
  <si>
    <t>Митино</t>
  </si>
  <si>
    <t>Покровское-Стрешнево</t>
  </si>
  <si>
    <t>Строгино</t>
  </si>
  <si>
    <t>Тушино Северное</t>
  </si>
  <si>
    <t>Тушино Южное</t>
  </si>
  <si>
    <t>Хорошево-Мневники</t>
  </si>
  <si>
    <t>Щукино</t>
  </si>
  <si>
    <t>Среднее по СЗАО</t>
  </si>
  <si>
    <t>ЗелАО</t>
  </si>
  <si>
    <t>Крюково, Матушкино, Савелки, Силино, Старое Крюково</t>
  </si>
  <si>
    <t>Среднее по ЗелАО</t>
  </si>
  <si>
    <t>Новомосковский АО</t>
  </si>
  <si>
    <t>Среднее по Новомосковскому АО</t>
  </si>
  <si>
    <t>Троицкий АО</t>
  </si>
  <si>
    <t>Вороновское, Киевский, Кленовское, Краснопахорское, Михайлово-Ярцевское, Новофедоровское, Первомайское, Роговское, Троицк, Щаповское</t>
  </si>
  <si>
    <t>Среднее по Троицкому АО</t>
  </si>
  <si>
    <t>250+260+270+280</t>
  </si>
  <si>
    <t>410+420+430+470</t>
  </si>
  <si>
    <t>010</t>
  </si>
  <si>
    <t>Номер строки в отчетности</t>
  </si>
  <si>
    <t>Коптево</t>
  </si>
  <si>
    <t>Богородское</t>
  </si>
  <si>
    <t>Московский</t>
  </si>
  <si>
    <t>Мосрентген</t>
  </si>
  <si>
    <t>Внуковское, Воскресенское, Десёновское, Кокошкино, Марушкинское, Рязановское, Сосенское, Филимонковское, Щербинка</t>
  </si>
  <si>
    <t>Приложение 5</t>
  </si>
  <si>
    <t>Анализ финансовых показателей ГБУ «Жилищник»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</si>
</sst>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\ #,##0_);[Red]\(\ #,##0\)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6" xfId="0" applyFont="1" applyFill="1" applyBorder="1"/>
    <xf numFmtId="165" fontId="8" fillId="3" borderId="6" xfId="1" applyNumberFormat="1" applyFont="1" applyFill="1" applyBorder="1"/>
    <xf numFmtId="9" fontId="8" fillId="3" borderId="6" xfId="2" applyFont="1" applyFill="1" applyBorder="1"/>
    <xf numFmtId="167" fontId="8" fillId="3" borderId="6" xfId="1" applyNumberFormat="1" applyFont="1" applyFill="1" applyBorder="1"/>
    <xf numFmtId="166" fontId="8" fillId="3" borderId="6" xfId="1" applyNumberFormat="1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66" fontId="8" fillId="2" borderId="1" xfId="1" applyNumberFormat="1" applyFont="1" applyFill="1" applyBorder="1"/>
    <xf numFmtId="165" fontId="8" fillId="2" borderId="4" xfId="1" applyNumberFormat="1" applyFont="1" applyFill="1" applyBorder="1"/>
    <xf numFmtId="0" fontId="8" fillId="0" borderId="7" xfId="0" applyFont="1" applyBorder="1" applyAlignment="1">
      <alignment horizontal="center" vertical="center"/>
    </xf>
    <xf numFmtId="0" fontId="8" fillId="0" borderId="5" xfId="0" applyFont="1" applyFill="1" applyBorder="1"/>
    <xf numFmtId="165" fontId="8" fillId="0" borderId="0" xfId="1" applyNumberFormat="1" applyFont="1" applyBorder="1"/>
    <xf numFmtId="9" fontId="8" fillId="0" borderId="0" xfId="2" applyFont="1" applyBorder="1"/>
    <xf numFmtId="167" fontId="8" fillId="0" borderId="0" xfId="1" applyNumberFormat="1" applyFont="1" applyFill="1" applyBorder="1"/>
    <xf numFmtId="165" fontId="8" fillId="0" borderId="0" xfId="1" applyNumberFormat="1" applyFont="1" applyFill="1" applyBorder="1"/>
    <xf numFmtId="166" fontId="8" fillId="0" borderId="0" xfId="1" applyNumberFormat="1" applyFont="1" applyBorder="1"/>
    <xf numFmtId="165" fontId="8" fillId="0" borderId="5" xfId="1" applyNumberFormat="1" applyFont="1" applyBorder="1"/>
    <xf numFmtId="0" fontId="8" fillId="0" borderId="5" xfId="0" applyFont="1" applyBorder="1"/>
    <xf numFmtId="0" fontId="6" fillId="3" borderId="3" xfId="0" applyFont="1" applyFill="1" applyBorder="1"/>
    <xf numFmtId="165" fontId="8" fillId="3" borderId="2" xfId="1" applyNumberFormat="1" applyFont="1" applyFill="1" applyBorder="1"/>
    <xf numFmtId="9" fontId="8" fillId="3" borderId="2" xfId="2" applyFont="1" applyFill="1" applyBorder="1"/>
    <xf numFmtId="167" fontId="8" fillId="3" borderId="2" xfId="1" applyNumberFormat="1" applyFont="1" applyFill="1" applyBorder="1"/>
    <xf numFmtId="166" fontId="8" fillId="3" borderId="2" xfId="1" applyNumberFormat="1" applyFont="1" applyFill="1" applyBorder="1"/>
    <xf numFmtId="165" fontId="8" fillId="3" borderId="3" xfId="1" applyNumberFormat="1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0" fontId="8" fillId="0" borderId="5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tabSelected="1" view="pageBreakPreview" zoomScale="60" zoomScaleNormal="5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8" sqref="J18"/>
    </sheetView>
  </sheetViews>
  <sheetFormatPr defaultRowHeight="15" x14ac:dyDescent="0.25"/>
  <cols>
    <col min="1" max="1" width="3.140625" style="3" bestFit="1" customWidth="1"/>
    <col min="2" max="2" width="31.5703125" customWidth="1"/>
    <col min="3" max="3" width="16.7109375" customWidth="1"/>
    <col min="4" max="4" width="15.85546875" bestFit="1" customWidth="1"/>
    <col min="5" max="5" width="10.140625" customWidth="1"/>
    <col min="6" max="6" width="15.85546875" bestFit="1" customWidth="1"/>
    <col min="7" max="7" width="16" bestFit="1" customWidth="1"/>
    <col min="8" max="8" width="16.42578125" customWidth="1"/>
    <col min="9" max="10" width="17.140625" bestFit="1" customWidth="1"/>
    <col min="11" max="11" width="17.7109375" customWidth="1"/>
    <col min="12" max="13" width="17.140625" bestFit="1" customWidth="1"/>
    <col min="14" max="14" width="17.7109375" bestFit="1" customWidth="1"/>
    <col min="15" max="15" width="18" customWidth="1"/>
    <col min="16" max="16" width="20" customWidth="1"/>
  </cols>
  <sheetData>
    <row r="1" spans="1:16" x14ac:dyDescent="0.25">
      <c r="P1" s="34" t="s">
        <v>170</v>
      </c>
    </row>
    <row r="2" spans="1:16" ht="15.75" x14ac:dyDescent="0.25">
      <c r="A2" s="42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57" x14ac:dyDescent="0.25">
      <c r="A3" s="35" t="s">
        <v>34</v>
      </c>
      <c r="B3" s="35" t="s">
        <v>33</v>
      </c>
      <c r="C3" s="36" t="s">
        <v>15</v>
      </c>
      <c r="D3" s="36" t="s">
        <v>4</v>
      </c>
      <c r="E3" s="36" t="s">
        <v>13</v>
      </c>
      <c r="F3" s="36" t="s">
        <v>5</v>
      </c>
      <c r="G3" s="36" t="s">
        <v>12</v>
      </c>
      <c r="H3" s="36" t="s">
        <v>6</v>
      </c>
      <c r="I3" s="36" t="s">
        <v>7</v>
      </c>
      <c r="J3" s="36" t="s">
        <v>8</v>
      </c>
      <c r="K3" s="36" t="s">
        <v>2</v>
      </c>
      <c r="L3" s="36" t="s">
        <v>9</v>
      </c>
      <c r="M3" s="36" t="s">
        <v>10</v>
      </c>
      <c r="N3" s="36" t="s">
        <v>3</v>
      </c>
      <c r="O3" s="36" t="s">
        <v>14</v>
      </c>
      <c r="P3" s="36" t="s">
        <v>11</v>
      </c>
    </row>
    <row r="4" spans="1:16" s="2" customFormat="1" ht="24" customHeight="1" x14ac:dyDescent="0.25">
      <c r="A4" s="37"/>
      <c r="B4" s="38" t="s">
        <v>164</v>
      </c>
      <c r="C4" s="39" t="s">
        <v>163</v>
      </c>
      <c r="D4" s="40">
        <v>160</v>
      </c>
      <c r="E4" s="40"/>
      <c r="F4" s="40">
        <v>170</v>
      </c>
      <c r="G4" s="40"/>
      <c r="H4" s="40">
        <v>300</v>
      </c>
      <c r="I4" s="40" t="s">
        <v>162</v>
      </c>
      <c r="J4" s="40" t="s">
        <v>162</v>
      </c>
      <c r="K4" s="40"/>
      <c r="L4" s="40" t="s">
        <v>161</v>
      </c>
      <c r="M4" s="40" t="s">
        <v>161</v>
      </c>
      <c r="N4" s="40"/>
      <c r="O4" s="40"/>
      <c r="P4" s="41"/>
    </row>
    <row r="5" spans="1:16" x14ac:dyDescent="0.25">
      <c r="A5" s="4"/>
      <c r="B5" s="5" t="s">
        <v>16</v>
      </c>
      <c r="C5" s="6">
        <f t="shared" ref="C5:P5" si="0">AVERAGE(C17,C35,C54,C72,C86,C104,C118,C133,C143,C146,C151,C154)</f>
        <v>2274472475.1558323</v>
      </c>
      <c r="D5" s="6">
        <f t="shared" si="0"/>
        <v>734841347.71754646</v>
      </c>
      <c r="E5" s="7">
        <f t="shared" si="0"/>
        <v>0.38420532300481958</v>
      </c>
      <c r="F5" s="6">
        <f t="shared" si="0"/>
        <v>1263635314.506109</v>
      </c>
      <c r="G5" s="7">
        <f t="shared" si="0"/>
        <v>0.50044976131878383</v>
      </c>
      <c r="H5" s="8">
        <f t="shared" si="0"/>
        <v>-91423826.994892985</v>
      </c>
      <c r="I5" s="6">
        <f t="shared" si="0"/>
        <v>241755370.13939536</v>
      </c>
      <c r="J5" s="6">
        <f t="shared" si="0"/>
        <v>201167403.67035094</v>
      </c>
      <c r="K5" s="7">
        <f t="shared" si="0"/>
        <v>0.44180344035781</v>
      </c>
      <c r="L5" s="6">
        <f t="shared" si="0"/>
        <v>439336986.58156931</v>
      </c>
      <c r="M5" s="6">
        <f t="shared" si="0"/>
        <v>446770869.13524473</v>
      </c>
      <c r="N5" s="7">
        <f t="shared" si="0"/>
        <v>0.48942303951909982</v>
      </c>
      <c r="O5" s="9">
        <f t="shared" si="0"/>
        <v>1.1485257590542757</v>
      </c>
      <c r="P5" s="6">
        <f t="shared" si="0"/>
        <v>2472054091.5980062</v>
      </c>
    </row>
    <row r="6" spans="1:16" x14ac:dyDescent="0.25">
      <c r="A6" s="10">
        <v>1</v>
      </c>
      <c r="B6" s="11" t="s">
        <v>36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</row>
    <row r="7" spans="1:16" x14ac:dyDescent="0.25">
      <c r="A7" s="16">
        <v>1</v>
      </c>
      <c r="B7" s="17" t="s">
        <v>37</v>
      </c>
      <c r="C7" s="18">
        <v>788464178</v>
      </c>
      <c r="D7" s="18">
        <v>225379030</v>
      </c>
      <c r="E7" s="19">
        <f t="shared" ref="E7:E16" si="1">D7/C7</f>
        <v>0.28584561770668038</v>
      </c>
      <c r="F7" s="18">
        <v>381753056</v>
      </c>
      <c r="G7" s="19">
        <f t="shared" ref="G7:G16" si="2">F7/C7</f>
        <v>0.48417298674030568</v>
      </c>
      <c r="H7" s="20">
        <v>30293112</v>
      </c>
      <c r="I7" s="21">
        <f>13373416+4152847+599528+2699469</f>
        <v>20825260</v>
      </c>
      <c r="J7" s="21">
        <f>24401990+5622478+687254+25919422</f>
        <v>56631144</v>
      </c>
      <c r="K7" s="19">
        <f>I7/J7-1</f>
        <v>-0.6322648894396341</v>
      </c>
      <c r="L7" s="21">
        <f>252570461+26404512+1321198</f>
        <v>280296171</v>
      </c>
      <c r="M7" s="21">
        <f>271527848+41364809+4809356</f>
        <v>317702013</v>
      </c>
      <c r="N7" s="19">
        <f>L7/M7-1</f>
        <v>-0.1177387629583575</v>
      </c>
      <c r="O7" s="22">
        <f>I7/L7</f>
        <v>7.4297340294384548E-2</v>
      </c>
      <c r="P7" s="23">
        <f>C7-(I7-L7)</f>
        <v>1047935089</v>
      </c>
    </row>
    <row r="8" spans="1:16" x14ac:dyDescent="0.25">
      <c r="A8" s="16">
        <v>2</v>
      </c>
      <c r="B8" s="17" t="s">
        <v>38</v>
      </c>
      <c r="C8" s="18">
        <v>3742438065</v>
      </c>
      <c r="D8" s="18">
        <v>1055002251</v>
      </c>
      <c r="E8" s="19">
        <f t="shared" si="1"/>
        <v>0.2819023942885211</v>
      </c>
      <c r="F8" s="18">
        <v>1439650059</v>
      </c>
      <c r="G8" s="19">
        <f t="shared" si="2"/>
        <v>0.38468240061576009</v>
      </c>
      <c r="H8" s="20">
        <v>577083213</v>
      </c>
      <c r="I8" s="21">
        <v>222229295</v>
      </c>
      <c r="J8" s="21">
        <v>272561875</v>
      </c>
      <c r="K8" s="19">
        <f t="shared" ref="K8:K16" si="3">I8/J8-1</f>
        <v>-0.18466478483096727</v>
      </c>
      <c r="L8" s="21">
        <v>1269550727</v>
      </c>
      <c r="M8" s="21">
        <v>190351262</v>
      </c>
      <c r="N8" s="19">
        <f>L8/M8-1</f>
        <v>5.6695156820131825</v>
      </c>
      <c r="O8" s="22">
        <f t="shared" ref="O8:O16" si="4">I8/L8</f>
        <v>0.17504562068593893</v>
      </c>
      <c r="P8" s="23">
        <f t="shared" ref="P8:P16" si="5">C8-(I8-L8)</f>
        <v>4789759497</v>
      </c>
    </row>
    <row r="9" spans="1:16" x14ac:dyDescent="0.25">
      <c r="A9" s="16">
        <v>3</v>
      </c>
      <c r="B9" s="17" t="s">
        <v>39</v>
      </c>
      <c r="C9" s="18">
        <v>1459150658</v>
      </c>
      <c r="D9" s="18">
        <v>540048879</v>
      </c>
      <c r="E9" s="19">
        <f t="shared" si="1"/>
        <v>0.3701118017108827</v>
      </c>
      <c r="F9" s="18">
        <v>615420505</v>
      </c>
      <c r="G9" s="19">
        <f t="shared" si="2"/>
        <v>0.42176625259761219</v>
      </c>
      <c r="H9" s="20">
        <v>-134819941</v>
      </c>
      <c r="I9" s="21">
        <f>15484015+31937972+1502802+9504649</f>
        <v>58429438</v>
      </c>
      <c r="J9" s="21">
        <f>58099466+4273996+1709353+8676464</f>
        <v>72759279</v>
      </c>
      <c r="K9" s="19">
        <f t="shared" si="3"/>
        <v>-0.19694863936186069</v>
      </c>
      <c r="L9" s="21">
        <f>496007839+37925452+4757422</f>
        <v>538690713</v>
      </c>
      <c r="M9" s="21">
        <f>69010546+1578164+2680891</f>
        <v>73269601</v>
      </c>
      <c r="N9" s="19">
        <f t="shared" ref="N9:N16" si="6">L9/M9-1</f>
        <v>6.3521720556387358</v>
      </c>
      <c r="O9" s="22">
        <f t="shared" si="4"/>
        <v>0.10846564937903432</v>
      </c>
      <c r="P9" s="23">
        <f t="shared" si="5"/>
        <v>1939411933</v>
      </c>
    </row>
    <row r="10" spans="1:16" x14ac:dyDescent="0.25">
      <c r="A10" s="16">
        <v>4</v>
      </c>
      <c r="B10" s="17" t="s">
        <v>40</v>
      </c>
      <c r="C10" s="18">
        <v>1791125803</v>
      </c>
      <c r="D10" s="18">
        <v>499491719</v>
      </c>
      <c r="E10" s="19">
        <f t="shared" si="1"/>
        <v>0.27887026034876455</v>
      </c>
      <c r="F10" s="18">
        <v>748805886</v>
      </c>
      <c r="G10" s="19">
        <f t="shared" si="2"/>
        <v>0.41806437311427647</v>
      </c>
      <c r="H10" s="20">
        <v>407778398</v>
      </c>
      <c r="I10" s="21">
        <f>131607742+19061565+1684777+585346</f>
        <v>152939430</v>
      </c>
      <c r="J10" s="21">
        <f>108910457+16450822+1534522+66740122</f>
        <v>193635923</v>
      </c>
      <c r="K10" s="19">
        <f t="shared" si="3"/>
        <v>-0.21017016042007863</v>
      </c>
      <c r="L10" s="21">
        <f>524186326+21219752+7089560</f>
        <v>552495638</v>
      </c>
      <c r="M10" s="21">
        <f>628733385+21219752+7089560</f>
        <v>657042697</v>
      </c>
      <c r="N10" s="19">
        <f t="shared" si="6"/>
        <v>-0.15911760297672106</v>
      </c>
      <c r="O10" s="22">
        <f t="shared" si="4"/>
        <v>0.27681563342948962</v>
      </c>
      <c r="P10" s="23">
        <f t="shared" si="5"/>
        <v>2190682011</v>
      </c>
    </row>
    <row r="11" spans="1:16" x14ac:dyDescent="0.25">
      <c r="A11" s="16">
        <v>5</v>
      </c>
      <c r="B11" s="24" t="s">
        <v>41</v>
      </c>
      <c r="C11" s="18">
        <v>1772391150</v>
      </c>
      <c r="D11" s="18">
        <v>530371439</v>
      </c>
      <c r="E11" s="19">
        <f t="shared" si="1"/>
        <v>0.2992406269913952</v>
      </c>
      <c r="F11" s="18">
        <v>657378066</v>
      </c>
      <c r="G11" s="19">
        <f t="shared" si="2"/>
        <v>0.37089897791466631</v>
      </c>
      <c r="H11" s="20">
        <v>210027900</v>
      </c>
      <c r="I11" s="21">
        <f>20136612+12122885+645555+1204311</f>
        <v>34109363</v>
      </c>
      <c r="J11" s="21">
        <f>14763556+12323897+1548748+2756266</f>
        <v>31392467</v>
      </c>
      <c r="K11" s="19">
        <f t="shared" si="3"/>
        <v>8.6546113116882539E-2</v>
      </c>
      <c r="L11" s="21">
        <f>612193418+61267273+1427055</f>
        <v>674887746</v>
      </c>
      <c r="M11" s="21">
        <f>625788550+84968044+1524249</f>
        <v>712280843</v>
      </c>
      <c r="N11" s="19">
        <f t="shared" si="6"/>
        <v>-5.2497687348303401E-2</v>
      </c>
      <c r="O11" s="22">
        <f t="shared" si="4"/>
        <v>5.0540794676097144E-2</v>
      </c>
      <c r="P11" s="23">
        <f t="shared" si="5"/>
        <v>2413169533</v>
      </c>
    </row>
    <row r="12" spans="1:16" x14ac:dyDescent="0.25">
      <c r="A12" s="16">
        <v>6</v>
      </c>
      <c r="B12" s="24" t="s">
        <v>42</v>
      </c>
      <c r="C12" s="18">
        <v>4405251932</v>
      </c>
      <c r="D12" s="18">
        <v>1327416786</v>
      </c>
      <c r="E12" s="19">
        <f t="shared" si="1"/>
        <v>0.30132596421048458</v>
      </c>
      <c r="F12" s="18">
        <v>1944382265</v>
      </c>
      <c r="G12" s="19">
        <f t="shared" si="2"/>
        <v>0.44137822195273257</v>
      </c>
      <c r="H12" s="20">
        <v>386590881</v>
      </c>
      <c r="I12" s="21">
        <f>57824996+90463212+2039000+12068526</f>
        <v>162395734</v>
      </c>
      <c r="J12" s="21">
        <f>110257446+55482011+3672919+10590470</f>
        <v>180002846</v>
      </c>
      <c r="K12" s="19">
        <f t="shared" si="3"/>
        <v>-9.7815742313318799E-2</v>
      </c>
      <c r="L12" s="21">
        <f>1173644945+122454600+5145210</f>
        <v>1301244755</v>
      </c>
      <c r="M12" s="21">
        <f>1245387037+224602751+11918130</f>
        <v>1481907918</v>
      </c>
      <c r="N12" s="19">
        <f t="shared" si="6"/>
        <v>-0.12191254315168587</v>
      </c>
      <c r="O12" s="22">
        <f t="shared" si="4"/>
        <v>0.12480029861868684</v>
      </c>
      <c r="P12" s="23">
        <f t="shared" si="5"/>
        <v>5544100953</v>
      </c>
    </row>
    <row r="13" spans="1:16" x14ac:dyDescent="0.25">
      <c r="A13" s="16">
        <v>7</v>
      </c>
      <c r="B13" s="24" t="s">
        <v>43</v>
      </c>
      <c r="C13" s="18">
        <v>3418498141</v>
      </c>
      <c r="D13" s="18">
        <v>1156614676</v>
      </c>
      <c r="E13" s="19">
        <f t="shared" si="1"/>
        <v>0.3383400043803037</v>
      </c>
      <c r="F13" s="18">
        <v>2002636063</v>
      </c>
      <c r="G13" s="19">
        <f t="shared" si="2"/>
        <v>0.58582335879643821</v>
      </c>
      <c r="H13" s="20">
        <v>-363569353</v>
      </c>
      <c r="I13" s="21">
        <f>194881543+64651196+1632982+14693116</f>
        <v>275858837</v>
      </c>
      <c r="J13" s="21">
        <f>157524540+87604556+1305544+79331685</f>
        <v>325766325</v>
      </c>
      <c r="K13" s="19">
        <f t="shared" si="3"/>
        <v>-0.15320026709329149</v>
      </c>
      <c r="L13" s="21">
        <f>940652751+21665602+5076939</f>
        <v>967395292</v>
      </c>
      <c r="M13" s="21">
        <f>1019701348+102949971+28330071</f>
        <v>1150981390</v>
      </c>
      <c r="N13" s="19">
        <f t="shared" si="6"/>
        <v>-0.15950396730567473</v>
      </c>
      <c r="O13" s="22">
        <f t="shared" si="4"/>
        <v>0.28515627404976041</v>
      </c>
      <c r="P13" s="23">
        <f t="shared" si="5"/>
        <v>4110034596</v>
      </c>
    </row>
    <row r="14" spans="1:16" x14ac:dyDescent="0.25">
      <c r="A14" s="16">
        <v>8</v>
      </c>
      <c r="B14" s="17" t="s">
        <v>44</v>
      </c>
      <c r="C14" s="18">
        <v>2717912453</v>
      </c>
      <c r="D14" s="18">
        <v>957669969</v>
      </c>
      <c r="E14" s="19">
        <f t="shared" si="1"/>
        <v>0.35235497300250973</v>
      </c>
      <c r="F14" s="18">
        <v>1503970691</v>
      </c>
      <c r="G14" s="19">
        <f t="shared" si="2"/>
        <v>0.55335509035250008</v>
      </c>
      <c r="H14" s="20">
        <v>-243390762</v>
      </c>
      <c r="I14" s="21">
        <f>211198965+29461842+929501+8740214</f>
        <v>250330522</v>
      </c>
      <c r="J14" s="21">
        <f>72957299+23860029+1788041+962111</f>
        <v>99567480</v>
      </c>
      <c r="K14" s="19">
        <f t="shared" si="3"/>
        <v>1.5141795493870087</v>
      </c>
      <c r="L14" s="21">
        <f>960222655+78035677+1638511</f>
        <v>1039896843</v>
      </c>
      <c r="M14" s="21">
        <f>1038623211+93055101+4769405</f>
        <v>1136447717</v>
      </c>
      <c r="N14" s="19">
        <f t="shared" si="6"/>
        <v>-8.4958482960285631E-2</v>
      </c>
      <c r="O14" s="22">
        <f t="shared" si="4"/>
        <v>0.24072630250306473</v>
      </c>
      <c r="P14" s="23">
        <f t="shared" si="5"/>
        <v>3507478774</v>
      </c>
    </row>
    <row r="15" spans="1:16" x14ac:dyDescent="0.25">
      <c r="A15" s="16">
        <v>9</v>
      </c>
      <c r="B15" s="24" t="s">
        <v>45</v>
      </c>
      <c r="C15" s="18">
        <v>2755990572</v>
      </c>
      <c r="D15" s="18">
        <v>813761893</v>
      </c>
      <c r="E15" s="19">
        <f t="shared" si="1"/>
        <v>0.29527020203463888</v>
      </c>
      <c r="F15" s="18">
        <v>1156731764</v>
      </c>
      <c r="G15" s="19">
        <f t="shared" si="2"/>
        <v>0.41971542854755456</v>
      </c>
      <c r="H15" s="20">
        <v>158787955</v>
      </c>
      <c r="I15" s="21">
        <f>49731655+11273936+1306544+23073659</f>
        <v>85385794</v>
      </c>
      <c r="J15" s="21">
        <f>20207207+30562963+1658261+101339830</f>
        <v>153768261</v>
      </c>
      <c r="K15" s="19">
        <f t="shared" si="3"/>
        <v>-0.4447111943341806</v>
      </c>
      <c r="L15" s="21">
        <f>775406258+111808001+3810309</f>
        <v>891024568</v>
      </c>
      <c r="M15" s="21">
        <f>730787079+124488930+10688222</f>
        <v>865964231</v>
      </c>
      <c r="N15" s="19">
        <f t="shared" si="6"/>
        <v>2.8939228784381488E-2</v>
      </c>
      <c r="O15" s="22">
        <f t="shared" si="4"/>
        <v>9.5828776294751949E-2</v>
      </c>
      <c r="P15" s="23">
        <f t="shared" si="5"/>
        <v>3561629346</v>
      </c>
    </row>
    <row r="16" spans="1:16" x14ac:dyDescent="0.25">
      <c r="A16" s="16">
        <v>10</v>
      </c>
      <c r="B16" s="24" t="s">
        <v>46</v>
      </c>
      <c r="C16" s="18">
        <v>850100641</v>
      </c>
      <c r="D16" s="18">
        <v>328926178</v>
      </c>
      <c r="E16" s="19">
        <f t="shared" si="1"/>
        <v>0.38692616160490578</v>
      </c>
      <c r="F16" s="18">
        <v>405183296</v>
      </c>
      <c r="G16" s="19">
        <f t="shared" si="2"/>
        <v>0.47662979705952252</v>
      </c>
      <c r="H16" s="20">
        <v>-19025842</v>
      </c>
      <c r="I16" s="21">
        <f>46787868+4148084+1009992+7021424</f>
        <v>58967368</v>
      </c>
      <c r="J16" s="21">
        <f>15593566+4347598+1204442+3120328</f>
        <v>24265934</v>
      </c>
      <c r="K16" s="19">
        <f t="shared" si="3"/>
        <v>1.4300473247804928</v>
      </c>
      <c r="L16" s="21">
        <f>313553601+23327471+4022461</f>
        <v>340903533</v>
      </c>
      <c r="M16" s="21">
        <f>304995370+11859099+3616902</f>
        <v>320471371</v>
      </c>
      <c r="N16" s="19">
        <f t="shared" si="6"/>
        <v>6.3756590600412721E-2</v>
      </c>
      <c r="O16" s="22">
        <f t="shared" si="4"/>
        <v>0.17297376615923779</v>
      </c>
      <c r="P16" s="23">
        <f t="shared" si="5"/>
        <v>1132036806</v>
      </c>
    </row>
    <row r="17" spans="1:16" x14ac:dyDescent="0.25">
      <c r="A17" s="4"/>
      <c r="B17" s="25" t="s">
        <v>63</v>
      </c>
      <c r="C17" s="26">
        <f t="shared" ref="C17:P17" si="7">AVERAGE(C7:C16)</f>
        <v>2370132359.3000002</v>
      </c>
      <c r="D17" s="26">
        <f t="shared" si="7"/>
        <v>743468282</v>
      </c>
      <c r="E17" s="27">
        <f t="shared" si="7"/>
        <v>0.31901880062790861</v>
      </c>
      <c r="F17" s="26">
        <f t="shared" si="7"/>
        <v>1085591165.0999999</v>
      </c>
      <c r="G17" s="27">
        <f t="shared" si="7"/>
        <v>0.45564868876913689</v>
      </c>
      <c r="H17" s="28">
        <f t="shared" si="7"/>
        <v>100975556.09999999</v>
      </c>
      <c r="I17" s="26">
        <f t="shared" si="7"/>
        <v>132147104.09999999</v>
      </c>
      <c r="J17" s="26">
        <f t="shared" si="7"/>
        <v>141035153.40000001</v>
      </c>
      <c r="K17" s="27">
        <f t="shared" si="7"/>
        <v>0.11109973094910526</v>
      </c>
      <c r="L17" s="26">
        <f t="shared" si="7"/>
        <v>785638598.60000002</v>
      </c>
      <c r="M17" s="26">
        <f t="shared" si="7"/>
        <v>690641904.29999995</v>
      </c>
      <c r="N17" s="27">
        <f t="shared" si="7"/>
        <v>1.1418654510335684</v>
      </c>
      <c r="O17" s="29">
        <f t="shared" si="7"/>
        <v>0.16046504560904465</v>
      </c>
      <c r="P17" s="30">
        <f t="shared" si="7"/>
        <v>3023623853.8000002</v>
      </c>
    </row>
    <row r="18" spans="1:16" x14ac:dyDescent="0.25">
      <c r="A18" s="10">
        <v>2</v>
      </c>
      <c r="B18" s="11" t="s">
        <v>47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5"/>
    </row>
    <row r="19" spans="1:16" x14ac:dyDescent="0.25">
      <c r="A19" s="16">
        <v>1</v>
      </c>
      <c r="B19" s="24" t="s">
        <v>48</v>
      </c>
      <c r="C19" s="31">
        <v>1839105199</v>
      </c>
      <c r="D19" s="31">
        <v>421124966</v>
      </c>
      <c r="E19" s="19">
        <f t="shared" ref="E19:E34" si="8">D19/C19</f>
        <v>0.228983619984862</v>
      </c>
      <c r="F19" s="31">
        <v>854014592</v>
      </c>
      <c r="G19" s="19">
        <f t="shared" ref="G19:G34" si="9">F19/C19</f>
        <v>0.46436418779326172</v>
      </c>
      <c r="H19" s="20">
        <v>349486241</v>
      </c>
      <c r="I19" s="18">
        <f>163263001+1093480+1648000+18254436</f>
        <v>184258917</v>
      </c>
      <c r="J19" s="18">
        <f>164612109+77437354+1544717+53825040</f>
        <v>297419220</v>
      </c>
      <c r="K19" s="19">
        <f>I19/J19-1</f>
        <v>-0.38047407628868102</v>
      </c>
      <c r="L19" s="18">
        <f>101100288+21705954+2480941</f>
        <v>125287183</v>
      </c>
      <c r="M19" s="18">
        <f>27862859+47293578+459053</f>
        <v>75615490</v>
      </c>
      <c r="N19" s="19">
        <f>L19/M19-1</f>
        <v>0.65689838153531777</v>
      </c>
      <c r="O19" s="22">
        <f t="shared" ref="O19:O79" si="10">I19/L19</f>
        <v>1.4706924729882385</v>
      </c>
      <c r="P19" s="23">
        <f>C19-(I19-L19)</f>
        <v>1780133465</v>
      </c>
    </row>
    <row r="20" spans="1:16" x14ac:dyDescent="0.25">
      <c r="A20" s="16">
        <v>2</v>
      </c>
      <c r="B20" s="24" t="s">
        <v>49</v>
      </c>
      <c r="C20" s="31">
        <v>879865972</v>
      </c>
      <c r="D20" s="31">
        <v>384317017</v>
      </c>
      <c r="E20" s="19">
        <f t="shared" si="8"/>
        <v>0.43679040811911296</v>
      </c>
      <c r="F20" s="31">
        <v>425831649</v>
      </c>
      <c r="G20" s="19">
        <f t="shared" si="9"/>
        <v>0.48397331247173175</v>
      </c>
      <c r="H20" s="20">
        <v>-14862459</v>
      </c>
      <c r="I20" s="18">
        <f>24412210+16329307+589820+1397281</f>
        <v>42728618</v>
      </c>
      <c r="J20" s="18">
        <f>19138199+18827462+310696+3123909</f>
        <v>41400266</v>
      </c>
      <c r="K20" s="19">
        <f t="shared" ref="K20:K34" si="11">I20/J20-1</f>
        <v>3.2085590947652287E-2</v>
      </c>
      <c r="L20" s="18">
        <f>39872461+73801372+153006</f>
        <v>113826839</v>
      </c>
      <c r="M20" s="18">
        <f>44707980+60484042+1725415</f>
        <v>106917437</v>
      </c>
      <c r="N20" s="19">
        <f>L20/M20-1</f>
        <v>6.4623715213075972E-2</v>
      </c>
      <c r="O20" s="22">
        <f t="shared" si="10"/>
        <v>0.37538262834479663</v>
      </c>
      <c r="P20" s="23">
        <f t="shared" ref="P20:P34" si="12">C20-(I20-L20)</f>
        <v>950964193</v>
      </c>
    </row>
    <row r="21" spans="1:16" x14ac:dyDescent="0.25">
      <c r="A21" s="16">
        <v>3</v>
      </c>
      <c r="B21" s="24" t="s">
        <v>50</v>
      </c>
      <c r="C21" s="31">
        <v>1692702960</v>
      </c>
      <c r="D21" s="31">
        <v>459713042</v>
      </c>
      <c r="E21" s="19">
        <f t="shared" si="8"/>
        <v>0.2715851823169258</v>
      </c>
      <c r="F21" s="31">
        <v>884270236</v>
      </c>
      <c r="G21" s="19">
        <f t="shared" si="9"/>
        <v>0.5224013054245501</v>
      </c>
      <c r="H21" s="20">
        <v>-41978835</v>
      </c>
      <c r="I21" s="18">
        <f>303984468+23139736+2409997+6794026</f>
        <v>336328227</v>
      </c>
      <c r="J21" s="18">
        <f>257502987+212248957+12288832+57579840</f>
        <v>539620616</v>
      </c>
      <c r="K21" s="19">
        <f t="shared" si="11"/>
        <v>-0.3767320650328897</v>
      </c>
      <c r="L21" s="18">
        <f>158765244+6706499+258811</f>
        <v>165730554</v>
      </c>
      <c r="M21" s="18">
        <f>108432731+8545747+771199</f>
        <v>117749677</v>
      </c>
      <c r="N21" s="19">
        <f t="shared" ref="N21:N33" si="13">L21/M21-1</f>
        <v>0.40748202646874354</v>
      </c>
      <c r="O21" s="22">
        <f>I21/L21</f>
        <v>2.0293676626459596</v>
      </c>
      <c r="P21" s="23">
        <f t="shared" si="12"/>
        <v>1522105287</v>
      </c>
    </row>
    <row r="22" spans="1:16" x14ac:dyDescent="0.25">
      <c r="A22" s="16">
        <v>4</v>
      </c>
      <c r="B22" s="24" t="s">
        <v>51</v>
      </c>
      <c r="C22" s="31">
        <v>1483141011</v>
      </c>
      <c r="D22" s="31">
        <v>410271554</v>
      </c>
      <c r="E22" s="19">
        <f t="shared" si="8"/>
        <v>0.27662343024509622</v>
      </c>
      <c r="F22" s="31">
        <v>904642055</v>
      </c>
      <c r="G22" s="19">
        <f t="shared" si="9"/>
        <v>0.60995013170733503</v>
      </c>
      <c r="H22" s="20">
        <v>-161161</v>
      </c>
      <c r="I22" s="18">
        <f>112658564+38727774+2722861+7278823</f>
        <v>161388022</v>
      </c>
      <c r="J22" s="18">
        <f>73533293+45507545+538902+12723631</f>
        <v>132303371</v>
      </c>
      <c r="K22" s="19">
        <f t="shared" si="11"/>
        <v>0.21983303055823122</v>
      </c>
      <c r="L22" s="18">
        <f>117647809+7766152+929443</f>
        <v>126343404</v>
      </c>
      <c r="M22" s="18">
        <f>186589007+29614002+2640878</f>
        <v>218843887</v>
      </c>
      <c r="N22" s="19">
        <f t="shared" si="13"/>
        <v>-0.42267793845208024</v>
      </c>
      <c r="O22" s="22">
        <f t="shared" si="10"/>
        <v>1.2773759206297781</v>
      </c>
      <c r="P22" s="23">
        <f t="shared" si="12"/>
        <v>1448096393</v>
      </c>
    </row>
    <row r="23" spans="1:16" x14ac:dyDescent="0.25">
      <c r="A23" s="16">
        <v>5</v>
      </c>
      <c r="B23" s="24" t="s">
        <v>52</v>
      </c>
      <c r="C23" s="31">
        <v>1065936651</v>
      </c>
      <c r="D23" s="31">
        <v>362696681</v>
      </c>
      <c r="E23" s="19">
        <f t="shared" si="8"/>
        <v>0.34026100956350358</v>
      </c>
      <c r="F23" s="31">
        <v>397600590</v>
      </c>
      <c r="G23" s="19">
        <f t="shared" si="9"/>
        <v>0.37300583447148961</v>
      </c>
      <c r="H23" s="20">
        <v>-199891510</v>
      </c>
      <c r="I23" s="18">
        <f>57789828+21043141+2034065+16380334</f>
        <v>97247368</v>
      </c>
      <c r="J23" s="18">
        <f>71118776+20623362+1599797+38307017</f>
        <v>131648952</v>
      </c>
      <c r="K23" s="19">
        <f t="shared" si="11"/>
        <v>-0.26131301068010027</v>
      </c>
      <c r="L23" s="18">
        <f>4265824+11156471+13039522</f>
        <v>28461817</v>
      </c>
      <c r="M23" s="18">
        <f>61763567+5740371+2241822</f>
        <v>69745760</v>
      </c>
      <c r="N23" s="19">
        <f t="shared" si="13"/>
        <v>-0.59192046943068655</v>
      </c>
      <c r="O23" s="22">
        <f t="shared" si="10"/>
        <v>3.4167659780821444</v>
      </c>
      <c r="P23" s="23">
        <f t="shared" si="12"/>
        <v>997151100</v>
      </c>
    </row>
    <row r="24" spans="1:16" x14ac:dyDescent="0.25">
      <c r="A24" s="16">
        <v>6</v>
      </c>
      <c r="B24" s="24" t="s">
        <v>53</v>
      </c>
      <c r="C24" s="31">
        <v>2198843735</v>
      </c>
      <c r="D24" s="31">
        <v>544557795</v>
      </c>
      <c r="E24" s="19">
        <f t="shared" si="8"/>
        <v>0.24765643248404826</v>
      </c>
      <c r="F24" s="31">
        <v>1147574267</v>
      </c>
      <c r="G24" s="19">
        <f t="shared" si="9"/>
        <v>0.52189896386611578</v>
      </c>
      <c r="H24" s="20">
        <v>218210215</v>
      </c>
      <c r="I24" s="18">
        <f>275829852+13136395+2231728+12310691</f>
        <v>303508666</v>
      </c>
      <c r="J24" s="18">
        <f>178014529+26387270+870050+4842724</f>
        <v>210114573</v>
      </c>
      <c r="K24" s="19">
        <f t="shared" si="11"/>
        <v>0.4444912681044737</v>
      </c>
      <c r="L24" s="18">
        <f>203181424+6061068+6241301</f>
        <v>215483793</v>
      </c>
      <c r="M24" s="18">
        <f>194920219+7144206+7823418</f>
        <v>209887843</v>
      </c>
      <c r="N24" s="19">
        <f t="shared" si="13"/>
        <v>2.6661620416004839E-2</v>
      </c>
      <c r="O24" s="22">
        <f t="shared" si="10"/>
        <v>1.4084988099313809</v>
      </c>
      <c r="P24" s="23">
        <f t="shared" si="12"/>
        <v>2110818862</v>
      </c>
    </row>
    <row r="25" spans="1:16" x14ac:dyDescent="0.25">
      <c r="A25" s="16">
        <v>7</v>
      </c>
      <c r="B25" s="24" t="s">
        <v>54</v>
      </c>
      <c r="C25" s="31">
        <v>1131357972</v>
      </c>
      <c r="D25" s="31">
        <v>851009253</v>
      </c>
      <c r="E25" s="19">
        <f t="shared" si="8"/>
        <v>0.75220157904186313</v>
      </c>
      <c r="F25" s="31">
        <v>269455054</v>
      </c>
      <c r="G25" s="19">
        <f t="shared" si="9"/>
        <v>0.23816958086542744</v>
      </c>
      <c r="H25" s="20">
        <v>280348719</v>
      </c>
      <c r="I25" s="18">
        <f>56796598+48565794+956797+42220262</f>
        <v>148539451</v>
      </c>
      <c r="J25" s="18">
        <f>205781045+20176344+404764+62235990</f>
        <v>288598143</v>
      </c>
      <c r="K25" s="19">
        <f t="shared" si="11"/>
        <v>-0.48530697579713811</v>
      </c>
      <c r="L25" s="18">
        <f>139799550+119294851+9483682</f>
        <v>268578083</v>
      </c>
      <c r="M25" s="18">
        <f>159022604+20059010+32439703</f>
        <v>211521317</v>
      </c>
      <c r="N25" s="19">
        <f t="shared" si="13"/>
        <v>0.26974475579688262</v>
      </c>
      <c r="O25" s="22">
        <f t="shared" si="10"/>
        <v>0.55305872072964346</v>
      </c>
      <c r="P25" s="23">
        <f t="shared" si="12"/>
        <v>1251396604</v>
      </c>
    </row>
    <row r="26" spans="1:16" x14ac:dyDescent="0.25">
      <c r="A26" s="16">
        <v>8</v>
      </c>
      <c r="B26" s="24" t="s">
        <v>55</v>
      </c>
      <c r="C26" s="31">
        <v>1635078416</v>
      </c>
      <c r="D26" s="31">
        <v>503741764</v>
      </c>
      <c r="E26" s="19">
        <f t="shared" si="8"/>
        <v>0.30808416224607543</v>
      </c>
      <c r="F26" s="31">
        <v>1162138988</v>
      </c>
      <c r="G26" s="19">
        <f t="shared" si="9"/>
        <v>0.71075428348141068</v>
      </c>
      <c r="H26" s="20">
        <v>-234034717</v>
      </c>
      <c r="I26" s="18">
        <f>268315969+31512819+5308624+14068266</f>
        <v>319205678</v>
      </c>
      <c r="J26" s="18">
        <f>123553461+36178019+1162072+38046451</f>
        <v>198940003</v>
      </c>
      <c r="K26" s="19">
        <f t="shared" si="11"/>
        <v>0.60453238758622119</v>
      </c>
      <c r="L26" s="18">
        <f>137661578+16117597+2236895</f>
        <v>156016070</v>
      </c>
      <c r="M26" s="18">
        <f>263335297+9832010+8362652</f>
        <v>281529959</v>
      </c>
      <c r="N26" s="19">
        <f t="shared" si="13"/>
        <v>-0.44582782395816001</v>
      </c>
      <c r="O26" s="22">
        <f t="shared" si="10"/>
        <v>2.0459794814726457</v>
      </c>
      <c r="P26" s="23">
        <f t="shared" si="12"/>
        <v>1471888808</v>
      </c>
    </row>
    <row r="27" spans="1:16" x14ac:dyDescent="0.25">
      <c r="A27" s="16">
        <v>9</v>
      </c>
      <c r="B27" s="24" t="s">
        <v>165</v>
      </c>
      <c r="C27" s="31">
        <v>1933674983</v>
      </c>
      <c r="D27" s="31">
        <v>420879152</v>
      </c>
      <c r="E27" s="19">
        <f t="shared" si="8"/>
        <v>0.21765764965683482</v>
      </c>
      <c r="F27" s="31">
        <v>729543134</v>
      </c>
      <c r="G27" s="19">
        <f t="shared" si="9"/>
        <v>0.37728322516131968</v>
      </c>
      <c r="H27" s="20">
        <v>419249940</v>
      </c>
      <c r="I27" s="18">
        <f>81644922+7282422+2672629+7554646</f>
        <v>99154619</v>
      </c>
      <c r="J27" s="18">
        <f>41623671+11007891+1127617+38881016</f>
        <v>92640195</v>
      </c>
      <c r="K27" s="19">
        <f t="shared" si="11"/>
        <v>7.0319627457606337E-2</v>
      </c>
      <c r="L27" s="18">
        <f>106499700+5704433+560900</f>
        <v>112765033</v>
      </c>
      <c r="M27" s="18">
        <f>125057283+7222076+94800</f>
        <v>132374159</v>
      </c>
      <c r="N27" s="19">
        <f t="shared" si="13"/>
        <v>-0.14813409315031045</v>
      </c>
      <c r="O27" s="22">
        <f t="shared" si="10"/>
        <v>0.8793028863832284</v>
      </c>
      <c r="P27" s="23">
        <f t="shared" si="12"/>
        <v>1947285397</v>
      </c>
    </row>
    <row r="28" spans="1:16" x14ac:dyDescent="0.25">
      <c r="A28" s="16">
        <v>10</v>
      </c>
      <c r="B28" s="24" t="s">
        <v>56</v>
      </c>
      <c r="C28" s="31">
        <v>639274951</v>
      </c>
      <c r="D28" s="31">
        <v>233716200</v>
      </c>
      <c r="E28" s="19">
        <f t="shared" si="8"/>
        <v>0.3655957419173147</v>
      </c>
      <c r="F28" s="31">
        <v>218109132</v>
      </c>
      <c r="G28" s="19">
        <f t="shared" si="9"/>
        <v>0.34118204015160919</v>
      </c>
      <c r="H28" s="20">
        <v>18241694</v>
      </c>
      <c r="I28" s="18">
        <f>51771365+14204729+1289308+3443259</f>
        <v>70708661</v>
      </c>
      <c r="J28" s="18">
        <f>60283314+14858079+506569+2745826</f>
        <v>78393788</v>
      </c>
      <c r="K28" s="19">
        <f t="shared" si="11"/>
        <v>-9.8032346644609136E-2</v>
      </c>
      <c r="L28" s="18">
        <f>29848854+1748623</f>
        <v>31597477</v>
      </c>
      <c r="M28" s="18">
        <f>20227808+694959</f>
        <v>20922767</v>
      </c>
      <c r="N28" s="19">
        <f t="shared" si="13"/>
        <v>0.51019590286504646</v>
      </c>
      <c r="O28" s="22">
        <f t="shared" si="10"/>
        <v>2.2377945239108805</v>
      </c>
      <c r="P28" s="23">
        <f t="shared" si="12"/>
        <v>600163767</v>
      </c>
    </row>
    <row r="29" spans="1:16" x14ac:dyDescent="0.25">
      <c r="A29" s="16">
        <v>11</v>
      </c>
      <c r="B29" s="24" t="s">
        <v>57</v>
      </c>
      <c r="C29" s="31">
        <v>323634475</v>
      </c>
      <c r="D29" s="31">
        <v>125062449</v>
      </c>
      <c r="E29" s="19">
        <f t="shared" si="8"/>
        <v>0.3864311705358337</v>
      </c>
      <c r="F29" s="31">
        <v>118521107</v>
      </c>
      <c r="G29" s="19">
        <f t="shared" si="9"/>
        <v>0.36621904078667761</v>
      </c>
      <c r="H29" s="20">
        <v>-19671247</v>
      </c>
      <c r="I29" s="18">
        <f>71876448+2809514+1002801</f>
        <v>75688763</v>
      </c>
      <c r="J29" s="18">
        <f>69468935+5151710+1259657+82934887</f>
        <v>158815189</v>
      </c>
      <c r="K29" s="19">
        <f t="shared" si="11"/>
        <v>-0.52341609466585726</v>
      </c>
      <c r="L29" s="18">
        <f>90828463+12223979+1814444</f>
        <v>104866886</v>
      </c>
      <c r="M29" s="18">
        <f>177488902+16548580+1833436</f>
        <v>195870918</v>
      </c>
      <c r="N29" s="19">
        <f t="shared" si="13"/>
        <v>-0.46461227082215439</v>
      </c>
      <c r="O29" s="22">
        <f t="shared" si="10"/>
        <v>0.72176037533907511</v>
      </c>
      <c r="P29" s="23">
        <f t="shared" si="12"/>
        <v>352812598</v>
      </c>
    </row>
    <row r="30" spans="1:16" x14ac:dyDescent="0.25">
      <c r="A30" s="16">
        <v>12</v>
      </c>
      <c r="B30" s="24" t="s">
        <v>58</v>
      </c>
      <c r="C30" s="31">
        <v>1343984254</v>
      </c>
      <c r="D30" s="31">
        <v>415115706</v>
      </c>
      <c r="E30" s="19">
        <f t="shared" si="8"/>
        <v>0.30886947132343412</v>
      </c>
      <c r="F30" s="31">
        <v>678910550</v>
      </c>
      <c r="G30" s="19">
        <f t="shared" si="9"/>
        <v>0.50514769646996172</v>
      </c>
      <c r="H30" s="20">
        <v>133024130</v>
      </c>
      <c r="I30" s="18">
        <f>27437024+38901857+1778966+42613755</f>
        <v>110731602</v>
      </c>
      <c r="J30" s="18">
        <f>23372421+46603819+1229318+8829484</f>
        <v>80035042</v>
      </c>
      <c r="K30" s="19">
        <f t="shared" si="11"/>
        <v>0.38353900032938082</v>
      </c>
      <c r="L30" s="18">
        <f>38125476+21874942+5571409</f>
        <v>65571827</v>
      </c>
      <c r="M30" s="18">
        <f>52481991+44149777+7717099</f>
        <v>104348867</v>
      </c>
      <c r="N30" s="19">
        <f t="shared" si="13"/>
        <v>-0.37160959303947205</v>
      </c>
      <c r="O30" s="22">
        <f t="shared" si="10"/>
        <v>1.6887069808196742</v>
      </c>
      <c r="P30" s="23">
        <f t="shared" si="12"/>
        <v>1298824479</v>
      </c>
    </row>
    <row r="31" spans="1:16" x14ac:dyDescent="0.25">
      <c r="A31" s="16">
        <v>13</v>
      </c>
      <c r="B31" s="24" t="s">
        <v>59</v>
      </c>
      <c r="C31" s="31">
        <v>1548780899</v>
      </c>
      <c r="D31" s="31">
        <v>499994331</v>
      </c>
      <c r="E31" s="19">
        <f t="shared" si="8"/>
        <v>0.32283089965974587</v>
      </c>
      <c r="F31" s="31">
        <v>675194551</v>
      </c>
      <c r="G31" s="19">
        <f t="shared" si="9"/>
        <v>0.43595227151623078</v>
      </c>
      <c r="H31" s="20">
        <v>195982754</v>
      </c>
      <c r="I31" s="18">
        <f>76534199+15838583+687878+16457245</f>
        <v>109517905</v>
      </c>
      <c r="J31" s="18">
        <f>140282159+56202668+166868+11634734</f>
        <v>208286429</v>
      </c>
      <c r="K31" s="19">
        <f t="shared" si="11"/>
        <v>-0.47419567599384982</v>
      </c>
      <c r="L31" s="18">
        <f>194517297+36295879+3477838</f>
        <v>234291014</v>
      </c>
      <c r="M31" s="18">
        <f>211173843+2996721+1052576</f>
        <v>215223140</v>
      </c>
      <c r="N31" s="19">
        <f t="shared" si="13"/>
        <v>8.8595835931024824E-2</v>
      </c>
      <c r="O31" s="22">
        <f t="shared" si="10"/>
        <v>0.46744389863795632</v>
      </c>
      <c r="P31" s="23">
        <f t="shared" si="12"/>
        <v>1673554008</v>
      </c>
    </row>
    <row r="32" spans="1:16" x14ac:dyDescent="0.25">
      <c r="A32" s="16">
        <v>14</v>
      </c>
      <c r="B32" s="17" t="s">
        <v>60</v>
      </c>
      <c r="C32" s="31">
        <v>1471428993</v>
      </c>
      <c r="D32" s="31">
        <v>416347278</v>
      </c>
      <c r="E32" s="19">
        <f t="shared" si="8"/>
        <v>0.2829543797088957</v>
      </c>
      <c r="F32" s="31">
        <v>431388205</v>
      </c>
      <c r="G32" s="19">
        <f t="shared" si="9"/>
        <v>0.29317636600354796</v>
      </c>
      <c r="H32" s="20">
        <v>235329087</v>
      </c>
      <c r="I32" s="18">
        <f>108307327+19596053+3235834+6733178</f>
        <v>137872392</v>
      </c>
      <c r="J32" s="18">
        <f>70340355+22161215+1746733+35495679</f>
        <v>129743982</v>
      </c>
      <c r="K32" s="19">
        <f t="shared" si="11"/>
        <v>6.2649610985425097E-2</v>
      </c>
      <c r="L32" s="18">
        <f>107239963+10972403+1242855</f>
        <v>119455221</v>
      </c>
      <c r="M32" s="18">
        <f>96671375+2420940+156826</f>
        <v>99249141</v>
      </c>
      <c r="N32" s="19">
        <f t="shared" si="13"/>
        <v>0.20358946985747717</v>
      </c>
      <c r="O32" s="22">
        <f t="shared" si="10"/>
        <v>1.1541763586875788</v>
      </c>
      <c r="P32" s="23">
        <f t="shared" si="12"/>
        <v>1453011822</v>
      </c>
    </row>
    <row r="33" spans="1:16" x14ac:dyDescent="0.25">
      <c r="A33" s="16">
        <v>15</v>
      </c>
      <c r="B33" s="17" t="s">
        <v>61</v>
      </c>
      <c r="C33" s="31">
        <v>2195420697</v>
      </c>
      <c r="D33" s="31">
        <v>644759981</v>
      </c>
      <c r="E33" s="19">
        <f t="shared" si="8"/>
        <v>0.29368402232932034</v>
      </c>
      <c r="F33" s="31">
        <v>1551473280</v>
      </c>
      <c r="G33" s="19">
        <f t="shared" si="9"/>
        <v>0.7066860953438483</v>
      </c>
      <c r="H33" s="20">
        <v>-380470178</v>
      </c>
      <c r="I33" s="18">
        <f>345092712+22762419+2049925+8705609</f>
        <v>378610665</v>
      </c>
      <c r="J33" s="18">
        <f>109856160+22762419+742758+16325869</f>
        <v>149687206</v>
      </c>
      <c r="K33" s="19">
        <f t="shared" si="11"/>
        <v>1.5293455273659124</v>
      </c>
      <c r="L33" s="18">
        <f>152957391+9524372+23159238</f>
        <v>185641001</v>
      </c>
      <c r="M33" s="18">
        <f>191297269+47192780+4447165</f>
        <v>242937214</v>
      </c>
      <c r="N33" s="19">
        <f t="shared" si="13"/>
        <v>-0.23584782280412586</v>
      </c>
      <c r="O33" s="22">
        <f t="shared" si="10"/>
        <v>2.0394776097980638</v>
      </c>
      <c r="P33" s="23">
        <f t="shared" si="12"/>
        <v>2002451033</v>
      </c>
    </row>
    <row r="34" spans="1:16" x14ac:dyDescent="0.25">
      <c r="A34" s="16">
        <v>16</v>
      </c>
      <c r="B34" s="24" t="s">
        <v>62</v>
      </c>
      <c r="C34" s="31">
        <v>1626072524</v>
      </c>
      <c r="D34" s="31">
        <v>635437476</v>
      </c>
      <c r="E34" s="19">
        <f t="shared" si="8"/>
        <v>0.3907805258506416</v>
      </c>
      <c r="F34" s="31">
        <v>981628545</v>
      </c>
      <c r="G34" s="19">
        <f t="shared" si="9"/>
        <v>0.60368066645962215</v>
      </c>
      <c r="H34" s="20">
        <v>-218288571</v>
      </c>
      <c r="I34" s="18">
        <f>330956025+8441931+2828160+5700840</f>
        <v>347926956</v>
      </c>
      <c r="J34" s="18">
        <f>176053862+16258955+1590667+37135365</f>
        <v>231038849</v>
      </c>
      <c r="K34" s="19">
        <f t="shared" si="11"/>
        <v>0.50592403617800219</v>
      </c>
      <c r="L34" s="18">
        <f>197233667+25553269+7013581</f>
        <v>229800517</v>
      </c>
      <c r="M34" s="18">
        <f>159964567+13009283+6340438</f>
        <v>179314288</v>
      </c>
      <c r="N34" s="19">
        <f>L34/M34-1</f>
        <v>0.28155162404013234</v>
      </c>
      <c r="O34" s="22">
        <f t="shared" si="10"/>
        <v>1.5140390480496613</v>
      </c>
      <c r="P34" s="23">
        <f t="shared" si="12"/>
        <v>1507946085</v>
      </c>
    </row>
    <row r="35" spans="1:16" x14ac:dyDescent="0.25">
      <c r="A35" s="4"/>
      <c r="B35" s="25" t="s">
        <v>64</v>
      </c>
      <c r="C35" s="26">
        <f t="shared" ref="C35:P35" si="14">AVERAGE(C19:C34)</f>
        <v>1438018980.75</v>
      </c>
      <c r="D35" s="26">
        <f t="shared" si="14"/>
        <v>458046540.3125</v>
      </c>
      <c r="E35" s="27">
        <f t="shared" si="14"/>
        <v>0.33943685531146928</v>
      </c>
      <c r="F35" s="26">
        <f t="shared" si="14"/>
        <v>714393495.9375</v>
      </c>
      <c r="G35" s="27">
        <f t="shared" si="14"/>
        <v>0.4721153126233838</v>
      </c>
      <c r="H35" s="28">
        <f t="shared" si="14"/>
        <v>46282131.375</v>
      </c>
      <c r="I35" s="26">
        <f t="shared" si="14"/>
        <v>182713531.875</v>
      </c>
      <c r="J35" s="26">
        <f t="shared" si="14"/>
        <v>185542864</v>
      </c>
      <c r="K35" s="27">
        <f t="shared" si="14"/>
        <v>7.832811465061125E-2</v>
      </c>
      <c r="L35" s="26">
        <f t="shared" si="14"/>
        <v>142732294.9375</v>
      </c>
      <c r="M35" s="26">
        <f t="shared" si="14"/>
        <v>155128241.5</v>
      </c>
      <c r="N35" s="27">
        <f t="shared" si="14"/>
        <v>-1.0705417470830252E-2</v>
      </c>
      <c r="O35" s="29">
        <f t="shared" si="14"/>
        <v>1.4549889597781689</v>
      </c>
      <c r="P35" s="30">
        <f t="shared" si="14"/>
        <v>1398037743.8125</v>
      </c>
    </row>
    <row r="36" spans="1:16" x14ac:dyDescent="0.25">
      <c r="A36" s="10">
        <v>3</v>
      </c>
      <c r="B36" s="11" t="s">
        <v>0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5"/>
    </row>
    <row r="37" spans="1:16" x14ac:dyDescent="0.25">
      <c r="A37" s="16">
        <v>1</v>
      </c>
      <c r="B37" s="24" t="s">
        <v>1</v>
      </c>
      <c r="C37" s="21">
        <v>1871587915</v>
      </c>
      <c r="D37" s="21">
        <v>574410796</v>
      </c>
      <c r="E37" s="19">
        <f t="shared" ref="E37:E53" si="15">D37/C37</f>
        <v>0.3069109345045114</v>
      </c>
      <c r="F37" s="18">
        <v>944011069</v>
      </c>
      <c r="G37" s="19">
        <f t="shared" ref="G37:G53" si="16">F37/C37</f>
        <v>0.50439044911229836</v>
      </c>
      <c r="H37" s="20">
        <v>97011737</v>
      </c>
      <c r="I37" s="21">
        <v>155912480</v>
      </c>
      <c r="J37" s="21">
        <v>95656080</v>
      </c>
      <c r="K37" s="19">
        <f>I37/J37-1</f>
        <v>0.62992754877682633</v>
      </c>
      <c r="L37" s="21">
        <v>349659221</v>
      </c>
      <c r="M37" s="21">
        <v>433559462</v>
      </c>
      <c r="N37" s="19">
        <f>L37/M37-1</f>
        <v>-0.19351495781678962</v>
      </c>
      <c r="O37" s="22">
        <f>I37/L37</f>
        <v>0.44589837943956295</v>
      </c>
      <c r="P37" s="23">
        <f>C37-(I37-L37)</f>
        <v>2065334656</v>
      </c>
    </row>
    <row r="38" spans="1:16" x14ac:dyDescent="0.25">
      <c r="A38" s="16">
        <v>2</v>
      </c>
      <c r="B38" s="24" t="s">
        <v>17</v>
      </c>
      <c r="C38" s="21">
        <v>1015216385</v>
      </c>
      <c r="D38" s="21">
        <v>282904123</v>
      </c>
      <c r="E38" s="19">
        <f t="shared" si="15"/>
        <v>0.27866386632441908</v>
      </c>
      <c r="F38" s="18">
        <v>653283283</v>
      </c>
      <c r="G38" s="19">
        <f t="shared" si="16"/>
        <v>0.64349166606486552</v>
      </c>
      <c r="H38" s="20">
        <v>-127207206</v>
      </c>
      <c r="I38" s="21">
        <v>266967671</v>
      </c>
      <c r="J38" s="21">
        <v>169271863</v>
      </c>
      <c r="K38" s="19">
        <f>I38/J38-1</f>
        <v>0.5771532626187259</v>
      </c>
      <c r="L38" s="21">
        <v>68524729</v>
      </c>
      <c r="M38" s="21">
        <v>343925935</v>
      </c>
      <c r="N38" s="19">
        <f>L38/M38-1</f>
        <v>-0.80075730840129866</v>
      </c>
      <c r="O38" s="22">
        <f>I38/L38</f>
        <v>3.8959318029553973</v>
      </c>
      <c r="P38" s="23">
        <f>C38-(I38-L38)</f>
        <v>816773443</v>
      </c>
    </row>
    <row r="39" spans="1:16" x14ac:dyDescent="0.25">
      <c r="A39" s="16">
        <v>3</v>
      </c>
      <c r="B39" s="24" t="s">
        <v>18</v>
      </c>
      <c r="C39" s="21">
        <v>1095938530</v>
      </c>
      <c r="D39" s="21">
        <v>429699209</v>
      </c>
      <c r="E39" s="19">
        <f t="shared" si="15"/>
        <v>0.39208331237336824</v>
      </c>
      <c r="F39" s="18">
        <v>392457604</v>
      </c>
      <c r="G39" s="19">
        <f t="shared" si="16"/>
        <v>0.35810183989060046</v>
      </c>
      <c r="H39" s="20">
        <v>36849042</v>
      </c>
      <c r="I39" s="21">
        <v>139444189</v>
      </c>
      <c r="J39" s="21">
        <v>160538032</v>
      </c>
      <c r="K39" s="19">
        <f t="shared" ref="K39:K53" si="17">I39/J39-1</f>
        <v>-0.13139467786673753</v>
      </c>
      <c r="L39" s="21">
        <v>432688545</v>
      </c>
      <c r="M39" s="21">
        <v>454389534</v>
      </c>
      <c r="N39" s="19">
        <f t="shared" ref="N39:N53" si="18">L39/M39-1</f>
        <v>-4.7758558188974454E-2</v>
      </c>
      <c r="O39" s="22">
        <f t="shared" si="10"/>
        <v>0.32227381707089103</v>
      </c>
      <c r="P39" s="23">
        <f t="shared" ref="P39:P53" si="19">C39-(I39-L39)</f>
        <v>1389182886</v>
      </c>
    </row>
    <row r="40" spans="1:16" x14ac:dyDescent="0.25">
      <c r="A40" s="16">
        <v>4</v>
      </c>
      <c r="B40" s="24" t="s">
        <v>19</v>
      </c>
      <c r="C40" s="21">
        <v>2950830823</v>
      </c>
      <c r="D40" s="21">
        <v>864337367</v>
      </c>
      <c r="E40" s="19">
        <f t="shared" si="15"/>
        <v>0.29291322303637196</v>
      </c>
      <c r="F40" s="18">
        <v>1729626620</v>
      </c>
      <c r="G40" s="19">
        <f t="shared" si="16"/>
        <v>0.58614902844262451</v>
      </c>
      <c r="H40" s="20">
        <v>-58731792</v>
      </c>
      <c r="I40" s="21">
        <f>395618052+62454848+496178+4918212</f>
        <v>463487290</v>
      </c>
      <c r="J40" s="21">
        <f>229593402+67086158+541764+32732034</f>
        <v>329953358</v>
      </c>
      <c r="K40" s="19">
        <f t="shared" si="17"/>
        <v>0.40470547961509151</v>
      </c>
      <c r="L40" s="21">
        <f>344612460+14941519+6291695</f>
        <v>365845674</v>
      </c>
      <c r="M40" s="21">
        <f>717018099+2248788+5714163</f>
        <v>724981050</v>
      </c>
      <c r="N40" s="19">
        <f t="shared" si="18"/>
        <v>-0.49537208731179938</v>
      </c>
      <c r="O40" s="22">
        <f t="shared" si="10"/>
        <v>1.2668929085109257</v>
      </c>
      <c r="P40" s="23">
        <f t="shared" si="19"/>
        <v>2853189207</v>
      </c>
    </row>
    <row r="41" spans="1:16" x14ac:dyDescent="0.25">
      <c r="A41" s="16">
        <v>5</v>
      </c>
      <c r="B41" s="17" t="s">
        <v>20</v>
      </c>
      <c r="C41" s="21">
        <v>1692788600</v>
      </c>
      <c r="D41" s="21">
        <v>358929428</v>
      </c>
      <c r="E41" s="19">
        <f t="shared" si="15"/>
        <v>0.21203440760411549</v>
      </c>
      <c r="F41" s="18">
        <v>868868151</v>
      </c>
      <c r="G41" s="19">
        <f t="shared" si="16"/>
        <v>0.5132762301211149</v>
      </c>
      <c r="H41" s="20">
        <v>168822762</v>
      </c>
      <c r="I41" s="21">
        <f>126931256+21145468+1058332+43458197</f>
        <v>192593253</v>
      </c>
      <c r="J41" s="21">
        <f>429689646+82020714+1056811+29612349</f>
        <v>542379520</v>
      </c>
      <c r="K41" s="19">
        <f t="shared" si="17"/>
        <v>-0.64491053607628834</v>
      </c>
      <c r="L41" s="21">
        <f>150011392+4911006+11639310</f>
        <v>166561708</v>
      </c>
      <c r="M41" s="21">
        <f>683422207+9042921+7490914</f>
        <v>699956042</v>
      </c>
      <c r="N41" s="19">
        <f t="shared" si="18"/>
        <v>-0.76203975963393433</v>
      </c>
      <c r="O41" s="22">
        <f t="shared" si="10"/>
        <v>1.156287692486919</v>
      </c>
      <c r="P41" s="23">
        <f t="shared" si="19"/>
        <v>1666757055</v>
      </c>
    </row>
    <row r="42" spans="1:16" x14ac:dyDescent="0.25">
      <c r="A42" s="16">
        <v>6</v>
      </c>
      <c r="B42" s="24" t="s">
        <v>21</v>
      </c>
      <c r="C42" s="21">
        <v>1768906783</v>
      </c>
      <c r="D42" s="21">
        <v>567021317</v>
      </c>
      <c r="E42" s="19">
        <f t="shared" si="15"/>
        <v>0.32054900939344749</v>
      </c>
      <c r="F42" s="18">
        <v>1049562461</v>
      </c>
      <c r="G42" s="19">
        <f t="shared" si="16"/>
        <v>0.59333961014044001</v>
      </c>
      <c r="H42" s="20">
        <v>-125473512</v>
      </c>
      <c r="I42" s="21">
        <f>219597862+19847360+905601+19082083</f>
        <v>259432906</v>
      </c>
      <c r="J42" s="21">
        <f>116777846+73257386+1915086+19169594</f>
        <v>211119912</v>
      </c>
      <c r="K42" s="19">
        <f t="shared" si="17"/>
        <v>0.22884148417037986</v>
      </c>
      <c r="L42" s="21">
        <f>421803643+4058381+5115327</f>
        <v>430977351</v>
      </c>
      <c r="M42" s="21">
        <f>349634879+5205757+134449</f>
        <v>354975085</v>
      </c>
      <c r="N42" s="19">
        <f t="shared" si="18"/>
        <v>0.2141059167575099</v>
      </c>
      <c r="O42" s="22">
        <f t="shared" si="10"/>
        <v>0.60196412966490209</v>
      </c>
      <c r="P42" s="23">
        <f t="shared" si="19"/>
        <v>1940451228</v>
      </c>
    </row>
    <row r="43" spans="1:16" x14ac:dyDescent="0.25">
      <c r="A43" s="16">
        <v>7</v>
      </c>
      <c r="B43" s="24" t="s">
        <v>22</v>
      </c>
      <c r="C43" s="21">
        <v>1478451726</v>
      </c>
      <c r="D43" s="21">
        <v>576782491</v>
      </c>
      <c r="E43" s="19">
        <f t="shared" si="15"/>
        <v>0.39012602228177179</v>
      </c>
      <c r="F43" s="18">
        <v>771076075</v>
      </c>
      <c r="G43" s="19">
        <f t="shared" si="16"/>
        <v>0.52154295026336217</v>
      </c>
      <c r="H43" s="20">
        <v>-212511597</v>
      </c>
      <c r="I43" s="21">
        <f>168667202+622169+931420+7152334</f>
        <v>177373125</v>
      </c>
      <c r="J43" s="21">
        <f>106603929+4325958+500347+5126417</f>
        <v>116556651</v>
      </c>
      <c r="K43" s="19">
        <f t="shared" si="17"/>
        <v>0.52177609324070229</v>
      </c>
      <c r="L43" s="21">
        <f>560136679+10913709+885035</f>
        <v>571935423</v>
      </c>
      <c r="M43" s="21">
        <f>549404747+8649670+2070115</f>
        <v>560124532</v>
      </c>
      <c r="N43" s="19">
        <f t="shared" si="18"/>
        <v>2.1086187669423495E-2</v>
      </c>
      <c r="O43" s="22">
        <f t="shared" si="10"/>
        <v>0.31012788833679217</v>
      </c>
      <c r="P43" s="23">
        <f t="shared" si="19"/>
        <v>1873014024</v>
      </c>
    </row>
    <row r="44" spans="1:16" x14ac:dyDescent="0.25">
      <c r="A44" s="16">
        <v>8</v>
      </c>
      <c r="B44" s="24" t="s">
        <v>23</v>
      </c>
      <c r="C44" s="21">
        <v>791992147</v>
      </c>
      <c r="D44" s="21">
        <v>260974461</v>
      </c>
      <c r="E44" s="19">
        <f t="shared" si="15"/>
        <v>0.32951647562232711</v>
      </c>
      <c r="F44" s="18">
        <v>379686879</v>
      </c>
      <c r="G44" s="19">
        <f t="shared" si="16"/>
        <v>0.47940737851785797</v>
      </c>
      <c r="H44" s="20">
        <v>10896124</v>
      </c>
      <c r="I44" s="21">
        <f>98632800+118600+807897+9354453</f>
        <v>108913750</v>
      </c>
      <c r="J44" s="21">
        <f>54607702+11705297+2212560+44034122</f>
        <v>112559681</v>
      </c>
      <c r="K44" s="19">
        <f t="shared" si="17"/>
        <v>-3.2391092153148504E-2</v>
      </c>
      <c r="L44" s="21">
        <f>82304281+6984901+2968906</f>
        <v>92258088</v>
      </c>
      <c r="M44" s="21">
        <f>226145837+20379853+4077876</f>
        <v>250603566</v>
      </c>
      <c r="N44" s="19">
        <f t="shared" si="18"/>
        <v>-0.63185644373472316</v>
      </c>
      <c r="O44" s="22">
        <f t="shared" si="10"/>
        <v>1.1805333533467548</v>
      </c>
      <c r="P44" s="23">
        <f t="shared" si="19"/>
        <v>775336485</v>
      </c>
    </row>
    <row r="45" spans="1:16" x14ac:dyDescent="0.25">
      <c r="A45" s="16">
        <v>9</v>
      </c>
      <c r="B45" s="24" t="s">
        <v>24</v>
      </c>
      <c r="C45" s="21">
        <v>1545749728</v>
      </c>
      <c r="D45" s="21">
        <v>491734958</v>
      </c>
      <c r="E45" s="19">
        <f t="shared" si="15"/>
        <v>0.31812068221175843</v>
      </c>
      <c r="F45" s="18">
        <v>735639635</v>
      </c>
      <c r="G45" s="19">
        <f t="shared" si="16"/>
        <v>0.47591121749820553</v>
      </c>
      <c r="H45" s="20">
        <v>-25199184</v>
      </c>
      <c r="I45" s="21">
        <f>83848322+6532247+9527+7265325</f>
        <v>97655421</v>
      </c>
      <c r="J45" s="21">
        <f>41931416+40933789+455336+3971220</f>
        <v>87291761</v>
      </c>
      <c r="K45" s="19">
        <f t="shared" si="17"/>
        <v>0.11872437766492072</v>
      </c>
      <c r="L45" s="21">
        <f>127521804+11824899+552878</f>
        <v>139899581</v>
      </c>
      <c r="M45" s="21">
        <f>387238850+8115238+619977</f>
        <v>395974065</v>
      </c>
      <c r="N45" s="19">
        <f t="shared" si="18"/>
        <v>-0.64669509100299283</v>
      </c>
      <c r="O45" s="22">
        <f t="shared" si="10"/>
        <v>0.69803941013947712</v>
      </c>
      <c r="P45" s="23">
        <f t="shared" si="19"/>
        <v>1587993888</v>
      </c>
    </row>
    <row r="46" spans="1:16" x14ac:dyDescent="0.25">
      <c r="A46" s="16">
        <v>10</v>
      </c>
      <c r="B46" s="17" t="s">
        <v>25</v>
      </c>
      <c r="C46" s="21">
        <v>2370933414</v>
      </c>
      <c r="D46" s="21">
        <v>734573396</v>
      </c>
      <c r="E46" s="19">
        <f t="shared" si="15"/>
        <v>0.30982455756136218</v>
      </c>
      <c r="F46" s="18">
        <v>1382420601</v>
      </c>
      <c r="G46" s="19">
        <f t="shared" si="16"/>
        <v>0.58307019203365951</v>
      </c>
      <c r="H46" s="20">
        <v>-152678065</v>
      </c>
      <c r="I46" s="21">
        <f>350327917+46024519+339832+144658340</f>
        <v>541350608</v>
      </c>
      <c r="J46" s="21">
        <f>151996963+57420583+262564+158370615</f>
        <v>368050725</v>
      </c>
      <c r="K46" s="19">
        <f t="shared" si="17"/>
        <v>0.47085869210011744</v>
      </c>
      <c r="L46" s="21">
        <f>14197496+6579678+463060</f>
        <v>21240234</v>
      </c>
      <c r="M46" s="21">
        <f>410733695+7486596+5619510</f>
        <v>423839801</v>
      </c>
      <c r="N46" s="19">
        <f t="shared" si="18"/>
        <v>-0.9498861740924609</v>
      </c>
      <c r="O46" s="22">
        <f t="shared" si="10"/>
        <v>25.487035971449277</v>
      </c>
      <c r="P46" s="23">
        <f t="shared" si="19"/>
        <v>1850823040</v>
      </c>
    </row>
    <row r="47" spans="1:16" x14ac:dyDescent="0.25">
      <c r="A47" s="16">
        <v>11</v>
      </c>
      <c r="B47" s="24" t="s">
        <v>26</v>
      </c>
      <c r="C47" s="21">
        <v>1641281420</v>
      </c>
      <c r="D47" s="21">
        <v>494939441</v>
      </c>
      <c r="E47" s="19">
        <f t="shared" si="15"/>
        <v>0.30155671962703384</v>
      </c>
      <c r="F47" s="18">
        <v>876600184</v>
      </c>
      <c r="G47" s="19">
        <f t="shared" si="16"/>
        <v>0.53409499024244123</v>
      </c>
      <c r="H47" s="20">
        <v>-55441259</v>
      </c>
      <c r="I47" s="21">
        <f>399640639+12514467+598108+1313977</f>
        <v>414067191</v>
      </c>
      <c r="J47" s="21">
        <f>263545168+19258721+870286+3547803</f>
        <v>287221978</v>
      </c>
      <c r="K47" s="19">
        <f t="shared" si="17"/>
        <v>0.44162780955432313</v>
      </c>
      <c r="L47" s="21">
        <f>494814777+2628160+3108548</f>
        <v>500551485</v>
      </c>
      <c r="M47" s="21">
        <f>431436026+4558598+2750646</f>
        <v>438745270</v>
      </c>
      <c r="N47" s="19">
        <f t="shared" si="18"/>
        <v>0.1408703847679087</v>
      </c>
      <c r="O47" s="22">
        <f t="shared" si="10"/>
        <v>0.82722198097164767</v>
      </c>
      <c r="P47" s="23">
        <f t="shared" si="19"/>
        <v>1727765714</v>
      </c>
    </row>
    <row r="48" spans="1:16" x14ac:dyDescent="0.25">
      <c r="A48" s="16">
        <v>12</v>
      </c>
      <c r="B48" s="24" t="s">
        <v>27</v>
      </c>
      <c r="C48" s="21">
        <v>1620065791</v>
      </c>
      <c r="D48" s="21">
        <v>503379350</v>
      </c>
      <c r="E48" s="19">
        <f t="shared" si="15"/>
        <v>0.3107153751387372</v>
      </c>
      <c r="F48" s="18">
        <v>787140072</v>
      </c>
      <c r="G48" s="19">
        <f t="shared" si="16"/>
        <v>0.48586920134529277</v>
      </c>
      <c r="H48" s="20">
        <v>-145123</v>
      </c>
      <c r="I48" s="21">
        <f>111745838+28591745+568025+27500272</f>
        <v>168405880</v>
      </c>
      <c r="J48" s="21">
        <f>70525337+47834180+1183527+98427299</f>
        <v>217970343</v>
      </c>
      <c r="K48" s="19">
        <f t="shared" si="17"/>
        <v>-0.22739085656253699</v>
      </c>
      <c r="L48" s="21">
        <f>119165850+5611888+926333</f>
        <v>125704071</v>
      </c>
      <c r="M48" s="21">
        <f>414564998+43837477+701134</f>
        <v>459103609</v>
      </c>
      <c r="N48" s="19">
        <f t="shared" si="18"/>
        <v>-0.72619672654326706</v>
      </c>
      <c r="O48" s="22">
        <f t="shared" si="10"/>
        <v>1.3397010825528475</v>
      </c>
      <c r="P48" s="23">
        <f t="shared" si="19"/>
        <v>1577363982</v>
      </c>
    </row>
    <row r="49" spans="1:16" x14ac:dyDescent="0.25">
      <c r="A49" s="16">
        <v>13</v>
      </c>
      <c r="B49" s="24" t="s">
        <v>28</v>
      </c>
      <c r="C49" s="21">
        <v>3528561354</v>
      </c>
      <c r="D49" s="21">
        <v>829571564</v>
      </c>
      <c r="E49" s="19">
        <f t="shared" si="15"/>
        <v>0.23510192420477322</v>
      </c>
      <c r="F49" s="18">
        <v>1957046935</v>
      </c>
      <c r="G49" s="19">
        <f t="shared" si="16"/>
        <v>0.55463026958039963</v>
      </c>
      <c r="H49" s="20">
        <v>-107627148</v>
      </c>
      <c r="I49" s="21">
        <f>279357411+178146+107609+4209880</f>
        <v>283853046</v>
      </c>
      <c r="J49" s="21">
        <f>178509944+64822739+644149+18897405</f>
        <v>262874237</v>
      </c>
      <c r="K49" s="19">
        <f t="shared" si="17"/>
        <v>7.9805496496790695E-2</v>
      </c>
      <c r="L49" s="21">
        <f>261720360+7019520+8110798</f>
        <v>276850678</v>
      </c>
      <c r="M49" s="21">
        <f>997008570+3616101+5681947</f>
        <v>1006306618</v>
      </c>
      <c r="N49" s="19">
        <f t="shared" si="18"/>
        <v>-0.72488437117681759</v>
      </c>
      <c r="O49" s="22">
        <f t="shared" si="10"/>
        <v>1.0252929414895635</v>
      </c>
      <c r="P49" s="23">
        <f t="shared" si="19"/>
        <v>3521558986</v>
      </c>
    </row>
    <row r="50" spans="1:16" x14ac:dyDescent="0.25">
      <c r="A50" s="16">
        <v>14</v>
      </c>
      <c r="B50" s="24" t="s">
        <v>29</v>
      </c>
      <c r="C50" s="21">
        <v>1067591294</v>
      </c>
      <c r="D50" s="21">
        <v>346626552</v>
      </c>
      <c r="E50" s="19">
        <f t="shared" si="15"/>
        <v>0.32468094667695929</v>
      </c>
      <c r="F50" s="18">
        <v>498783564</v>
      </c>
      <c r="G50" s="19">
        <f t="shared" si="16"/>
        <v>0.46720460049011975</v>
      </c>
      <c r="H50" s="20">
        <v>-163686295</v>
      </c>
      <c r="I50" s="21">
        <f>155404707+40071609+1447185+5200760</f>
        <v>202124261</v>
      </c>
      <c r="J50" s="21">
        <f>111194627+56276493+787041+7433591</f>
        <v>175691752</v>
      </c>
      <c r="K50" s="19">
        <f t="shared" si="17"/>
        <v>0.15044820658399494</v>
      </c>
      <c r="L50" s="21">
        <f>73308463+7040426+1148039</f>
        <v>81496928</v>
      </c>
      <c r="M50" s="21">
        <f>262829218+2180289+2952679</f>
        <v>267962186</v>
      </c>
      <c r="N50" s="19">
        <f t="shared" si="18"/>
        <v>-0.69586407240311132</v>
      </c>
      <c r="O50" s="22">
        <f t="shared" si="10"/>
        <v>2.4801457669668237</v>
      </c>
      <c r="P50" s="23">
        <f t="shared" si="19"/>
        <v>946963961</v>
      </c>
    </row>
    <row r="51" spans="1:16" x14ac:dyDescent="0.25">
      <c r="A51" s="16">
        <v>15</v>
      </c>
      <c r="B51" s="17" t="s">
        <v>30</v>
      </c>
      <c r="C51" s="21">
        <v>548268975</v>
      </c>
      <c r="D51" s="21">
        <v>187655225</v>
      </c>
      <c r="E51" s="19">
        <f t="shared" si="15"/>
        <v>0.34226854620033897</v>
      </c>
      <c r="F51" s="18">
        <v>163671629</v>
      </c>
      <c r="G51" s="19">
        <f t="shared" si="16"/>
        <v>0.29852433105484399</v>
      </c>
      <c r="H51" s="20">
        <v>-54096432</v>
      </c>
      <c r="I51" s="21">
        <f>77772154+89098983+102581+6960701</f>
        <v>173934419</v>
      </c>
      <c r="J51" s="21">
        <f>78962859+17519642+1031870+7471276</f>
        <v>104985647</v>
      </c>
      <c r="K51" s="19">
        <f t="shared" si="17"/>
        <v>0.65674474530789917</v>
      </c>
      <c r="L51" s="21">
        <f>225790858+5076077+2527344</f>
        <v>233394279</v>
      </c>
      <c r="M51" s="21">
        <f>30685541+1942716+18370</f>
        <v>32646627</v>
      </c>
      <c r="N51" s="19">
        <f t="shared" si="18"/>
        <v>6.1491085128028695</v>
      </c>
      <c r="O51" s="22">
        <f t="shared" si="10"/>
        <v>0.74523857116480563</v>
      </c>
      <c r="P51" s="23">
        <f t="shared" si="19"/>
        <v>607728835</v>
      </c>
    </row>
    <row r="52" spans="1:16" x14ac:dyDescent="0.25">
      <c r="A52" s="16">
        <v>16</v>
      </c>
      <c r="B52" s="24" t="s">
        <v>31</v>
      </c>
      <c r="C52" s="21">
        <v>1526982913</v>
      </c>
      <c r="D52" s="21">
        <v>401531685</v>
      </c>
      <c r="E52" s="19">
        <f t="shared" si="15"/>
        <v>0.26295754954528427</v>
      </c>
      <c r="F52" s="18">
        <v>616171217</v>
      </c>
      <c r="G52" s="19">
        <f t="shared" si="16"/>
        <v>0.40352201177512453</v>
      </c>
      <c r="H52" s="20">
        <v>-197555693</v>
      </c>
      <c r="I52" s="21">
        <f>178716584+166751112+535936+35980563</f>
        <v>381984195</v>
      </c>
      <c r="J52" s="21">
        <f>173804698+280321429+720274+9631616</f>
        <v>464478017</v>
      </c>
      <c r="K52" s="19">
        <f t="shared" si="17"/>
        <v>-0.17760543875212076</v>
      </c>
      <c r="L52" s="21">
        <f>473205944+863071+3022625</f>
        <v>477091640</v>
      </c>
      <c r="M52" s="21">
        <f>399874081+1394629+795249</f>
        <v>402063959</v>
      </c>
      <c r="N52" s="19">
        <f t="shared" si="18"/>
        <v>0.18660633294913165</v>
      </c>
      <c r="O52" s="22">
        <f t="shared" si="10"/>
        <v>0.80065162114347677</v>
      </c>
      <c r="P52" s="23">
        <f t="shared" si="19"/>
        <v>1622090358</v>
      </c>
    </row>
    <row r="53" spans="1:16" x14ac:dyDescent="0.25">
      <c r="A53" s="16">
        <v>17</v>
      </c>
      <c r="B53" s="17" t="s">
        <v>32</v>
      </c>
      <c r="C53" s="21">
        <v>1196279183</v>
      </c>
      <c r="D53" s="21">
        <v>531499296</v>
      </c>
      <c r="E53" s="19">
        <f t="shared" si="15"/>
        <v>0.44429369293806392</v>
      </c>
      <c r="F53" s="18">
        <v>686061767</v>
      </c>
      <c r="G53" s="19">
        <f t="shared" si="16"/>
        <v>0.57349636836403928</v>
      </c>
      <c r="H53" s="20">
        <v>-256608324</v>
      </c>
      <c r="I53" s="21">
        <f>105272276+60940+935138</f>
        <v>106268354</v>
      </c>
      <c r="J53" s="21">
        <f>8995610+14297174+584556+4374682</f>
        <v>28252022</v>
      </c>
      <c r="K53" s="19">
        <f t="shared" si="17"/>
        <v>2.7614424199443142</v>
      </c>
      <c r="L53" s="21">
        <f>518942396+6774152+4926138</f>
        <v>530642686</v>
      </c>
      <c r="M53" s="21">
        <f>538108018+3616704+2517654</f>
        <v>544242376</v>
      </c>
      <c r="N53" s="19">
        <f t="shared" si="18"/>
        <v>-2.4988296758428064E-2</v>
      </c>
      <c r="O53" s="22">
        <f t="shared" si="10"/>
        <v>0.20026348577618952</v>
      </c>
      <c r="P53" s="23">
        <f t="shared" si="19"/>
        <v>1620653515</v>
      </c>
    </row>
    <row r="54" spans="1:16" x14ac:dyDescent="0.25">
      <c r="A54" s="4"/>
      <c r="B54" s="25" t="s">
        <v>35</v>
      </c>
      <c r="C54" s="26">
        <f t="shared" ref="C54:O54" si="20">AVERAGE(C37:C53)</f>
        <v>1630083940.0588236</v>
      </c>
      <c r="D54" s="26">
        <f t="shared" si="20"/>
        <v>496268862.29411763</v>
      </c>
      <c r="E54" s="27">
        <f t="shared" si="20"/>
        <v>0.31601866148497904</v>
      </c>
      <c r="F54" s="26">
        <f t="shared" si="20"/>
        <v>852476926.2352941</v>
      </c>
      <c r="G54" s="27">
        <f t="shared" si="20"/>
        <v>0.50447190205513459</v>
      </c>
      <c r="H54" s="28">
        <f t="shared" si="20"/>
        <v>-71963645</v>
      </c>
      <c r="I54" s="26">
        <f t="shared" si="20"/>
        <v>243162825.82352942</v>
      </c>
      <c r="J54" s="26">
        <f t="shared" si="20"/>
        <v>219697151.70588234</v>
      </c>
      <c r="K54" s="27">
        <f t="shared" si="20"/>
        <v>0.34284488321548556</v>
      </c>
      <c r="L54" s="26">
        <f t="shared" si="20"/>
        <v>286195430.64705884</v>
      </c>
      <c r="M54" s="26">
        <f t="shared" si="20"/>
        <v>458435277.47058821</v>
      </c>
      <c r="N54" s="27">
        <f t="shared" si="20"/>
        <v>7.0373458130855524E-4</v>
      </c>
      <c r="O54" s="29">
        <f t="shared" si="20"/>
        <v>2.5166765178509563</v>
      </c>
      <c r="P54" s="30">
        <f>AVERAGE(P37:P53)</f>
        <v>1673116544.8823528</v>
      </c>
    </row>
    <row r="55" spans="1:16" x14ac:dyDescent="0.25">
      <c r="A55" s="10">
        <v>4</v>
      </c>
      <c r="B55" s="11" t="s">
        <v>65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5"/>
    </row>
    <row r="56" spans="1:16" x14ac:dyDescent="0.25">
      <c r="A56" s="16">
        <v>1</v>
      </c>
      <c r="B56" s="17" t="s">
        <v>166</v>
      </c>
      <c r="C56" s="31">
        <v>2074864804</v>
      </c>
      <c r="D56" s="31">
        <v>601024709</v>
      </c>
      <c r="E56" s="19">
        <f t="shared" ref="E56:E71" si="21">D56/C56</f>
        <v>0.28966933548697854</v>
      </c>
      <c r="F56" s="31">
        <v>949313567</v>
      </c>
      <c r="G56" s="19">
        <f t="shared" ref="G56:G71" si="22">F56/C56</f>
        <v>0.45753032446734782</v>
      </c>
      <c r="H56" s="20">
        <v>98672048</v>
      </c>
      <c r="I56" s="21">
        <f>182009619+21037473+407371+4107437</f>
        <v>207561900</v>
      </c>
      <c r="J56" s="21">
        <f>77950504+6981655+419327+221374</f>
        <v>85572860</v>
      </c>
      <c r="K56" s="19">
        <f t="shared" ref="K56:K71" si="23">I56/J56-1</f>
        <v>1.4255575891702112</v>
      </c>
      <c r="L56" s="21">
        <f>644182143+41678485+10837740</f>
        <v>696698368</v>
      </c>
      <c r="M56" s="21">
        <f>606427779+24850795+7057173</f>
        <v>638335747</v>
      </c>
      <c r="N56" s="19">
        <f t="shared" ref="N56:N71" si="24">L56/M56-1</f>
        <v>9.1429347759839574E-2</v>
      </c>
      <c r="O56" s="22">
        <f t="shared" si="10"/>
        <v>0.29792218488446354</v>
      </c>
      <c r="P56" s="23">
        <f>C56-(I56-L56)</f>
        <v>2564001272</v>
      </c>
    </row>
    <row r="57" spans="1:16" x14ac:dyDescent="0.25">
      <c r="A57" s="16">
        <v>2</v>
      </c>
      <c r="B57" s="17" t="s">
        <v>67</v>
      </c>
      <c r="C57" s="31">
        <v>2033627220</v>
      </c>
      <c r="D57" s="31">
        <v>741727034</v>
      </c>
      <c r="E57" s="19">
        <f t="shared" si="21"/>
        <v>0.36473107101703722</v>
      </c>
      <c r="F57" s="31">
        <v>1112281086</v>
      </c>
      <c r="G57" s="19">
        <f t="shared" si="22"/>
        <v>0.54694443261828485</v>
      </c>
      <c r="H57" s="20">
        <v>-117082094</v>
      </c>
      <c r="I57" s="21">
        <f>191913906+4590390+1265132+3133370</f>
        <v>200902798</v>
      </c>
      <c r="J57" s="21">
        <f>95201779+6193195+1110857+8802570</f>
        <v>111308401</v>
      </c>
      <c r="K57" s="19">
        <f t="shared" si="23"/>
        <v>0.80492034918370625</v>
      </c>
      <c r="L57" s="21">
        <f>652431639+4919589+20078223</f>
        <v>677429451</v>
      </c>
      <c r="M57" s="21">
        <f>668779356+15822563+18564333</f>
        <v>703166252</v>
      </c>
      <c r="N57" s="19">
        <f t="shared" si="24"/>
        <v>-3.6601302930562185E-2</v>
      </c>
      <c r="O57" s="22">
        <f t="shared" si="10"/>
        <v>0.2965663770647019</v>
      </c>
      <c r="P57" s="23">
        <f t="shared" ref="P57:P71" si="25">C57-(I57-L57)</f>
        <v>2510153873</v>
      </c>
    </row>
    <row r="58" spans="1:16" x14ac:dyDescent="0.25">
      <c r="A58" s="16">
        <v>3</v>
      </c>
      <c r="B58" s="17" t="s">
        <v>66</v>
      </c>
      <c r="C58" s="31">
        <v>407095472</v>
      </c>
      <c r="D58" s="31">
        <v>119359812</v>
      </c>
      <c r="E58" s="19">
        <f t="shared" si="21"/>
        <v>0.29319857431379143</v>
      </c>
      <c r="F58" s="31">
        <v>189612108</v>
      </c>
      <c r="G58" s="19">
        <f t="shared" si="22"/>
        <v>0.46576815769643343</v>
      </c>
      <c r="H58" s="20">
        <v>6694903</v>
      </c>
      <c r="I58" s="21">
        <f>57757677+4541778+56781+5534819</f>
        <v>67891055</v>
      </c>
      <c r="J58" s="21">
        <f>15575468+5425171+125039+261747</f>
        <v>21387425</v>
      </c>
      <c r="K58" s="19">
        <f t="shared" si="23"/>
        <v>2.1743445038381197</v>
      </c>
      <c r="L58" s="21">
        <f>112523644+2247643+170373</f>
        <v>114941660</v>
      </c>
      <c r="M58" s="21">
        <f>129818890+3296359+623850</f>
        <v>133739099</v>
      </c>
      <c r="N58" s="19">
        <f t="shared" si="24"/>
        <v>-0.1405530554680946</v>
      </c>
      <c r="O58" s="22">
        <f t="shared" si="10"/>
        <v>0.59065664268290541</v>
      </c>
      <c r="P58" s="23">
        <f t="shared" si="25"/>
        <v>454146077</v>
      </c>
    </row>
    <row r="59" spans="1:16" x14ac:dyDescent="0.25">
      <c r="A59" s="16">
        <v>4</v>
      </c>
      <c r="B59" s="17" t="s">
        <v>68</v>
      </c>
      <c r="C59" s="31">
        <v>4323325964</v>
      </c>
      <c r="D59" s="31">
        <v>1151445077</v>
      </c>
      <c r="E59" s="19">
        <f t="shared" si="21"/>
        <v>0.26633316261322737</v>
      </c>
      <c r="F59" s="31">
        <v>2794543560</v>
      </c>
      <c r="G59" s="19">
        <f t="shared" si="22"/>
        <v>0.64638743024929124</v>
      </c>
      <c r="H59" s="20">
        <v>43601410</v>
      </c>
      <c r="I59" s="21">
        <f>599598623+19679139+784881+8461250</f>
        <v>628523893</v>
      </c>
      <c r="J59" s="21">
        <f>431323920+32426871+2228035+8779704</f>
        <v>474758530</v>
      </c>
      <c r="K59" s="19">
        <f t="shared" si="23"/>
        <v>0.32388120124982267</v>
      </c>
      <c r="L59" s="21">
        <f>1494274232+8679078+3526102</f>
        <v>1506479412</v>
      </c>
      <c r="M59" s="21">
        <f>1511124188+5469050+12726578</f>
        <v>1529319816</v>
      </c>
      <c r="N59" s="19">
        <f t="shared" si="24"/>
        <v>-1.4935008204980948E-2</v>
      </c>
      <c r="O59" s="22">
        <f t="shared" si="10"/>
        <v>0.41721372890557629</v>
      </c>
      <c r="P59" s="23">
        <f t="shared" si="25"/>
        <v>5201281483</v>
      </c>
    </row>
    <row r="60" spans="1:16" x14ac:dyDescent="0.25">
      <c r="A60" s="16">
        <v>5</v>
      </c>
      <c r="B60" s="17" t="s">
        <v>69</v>
      </c>
      <c r="C60" s="31">
        <v>2205933660</v>
      </c>
      <c r="D60" s="31">
        <v>697659230</v>
      </c>
      <c r="E60" s="19">
        <f t="shared" si="21"/>
        <v>0.31626482819977458</v>
      </c>
      <c r="F60" s="31">
        <v>1204670393</v>
      </c>
      <c r="G60" s="19">
        <f t="shared" si="22"/>
        <v>0.54610454287188315</v>
      </c>
      <c r="H60" s="20">
        <v>57044896</v>
      </c>
      <c r="I60" s="21">
        <f>189991726+7939181+977750+24750458</f>
        <v>223659115</v>
      </c>
      <c r="J60" s="21">
        <f>209285266+18527044+216523+5691190</f>
        <v>233720023</v>
      </c>
      <c r="K60" s="19">
        <f t="shared" si="23"/>
        <v>-4.304683813932364E-2</v>
      </c>
      <c r="L60" s="21">
        <f>613233293+4222719+13423787</f>
        <v>630879799</v>
      </c>
      <c r="M60" s="21">
        <f>615715447+68817024+17845127</f>
        <v>702377598</v>
      </c>
      <c r="N60" s="19">
        <f t="shared" si="24"/>
        <v>-0.10179396268273355</v>
      </c>
      <c r="O60" s="22">
        <f t="shared" si="10"/>
        <v>0.35451937968931541</v>
      </c>
      <c r="P60" s="23">
        <f t="shared" si="25"/>
        <v>2613154344</v>
      </c>
    </row>
    <row r="61" spans="1:16" x14ac:dyDescent="0.25">
      <c r="A61" s="16">
        <v>6</v>
      </c>
      <c r="B61" s="17" t="s">
        <v>70</v>
      </c>
      <c r="C61" s="31">
        <v>1277560384</v>
      </c>
      <c r="D61" s="31">
        <v>406952026</v>
      </c>
      <c r="E61" s="19">
        <f t="shared" si="21"/>
        <v>0.31853838855416483</v>
      </c>
      <c r="F61" s="31">
        <v>768305599</v>
      </c>
      <c r="G61" s="19">
        <f t="shared" si="22"/>
        <v>0.60138495888112953</v>
      </c>
      <c r="H61" s="20">
        <v>-89721465</v>
      </c>
      <c r="I61" s="21">
        <f>304368092+1548644+151805+3640972</f>
        <v>309709513</v>
      </c>
      <c r="J61" s="21">
        <f>228517991+1659852+203450+15943509</f>
        <v>246324802</v>
      </c>
      <c r="K61" s="19">
        <f t="shared" si="23"/>
        <v>0.25732167644247217</v>
      </c>
      <c r="L61" s="21">
        <f>427774072+107666362+15082055</f>
        <v>550522489</v>
      </c>
      <c r="M61" s="21">
        <f>421919039+121116612+11687016</f>
        <v>554722667</v>
      </c>
      <c r="N61" s="19">
        <f t="shared" si="24"/>
        <v>-7.5716718458883614E-3</v>
      </c>
      <c r="O61" s="22">
        <f t="shared" si="10"/>
        <v>0.56257377162297906</v>
      </c>
      <c r="P61" s="23">
        <f t="shared" si="25"/>
        <v>1518373360</v>
      </c>
    </row>
    <row r="62" spans="1:16" x14ac:dyDescent="0.25">
      <c r="A62" s="16">
        <v>7</v>
      </c>
      <c r="B62" s="17" t="s">
        <v>71</v>
      </c>
      <c r="C62" s="31">
        <v>1445484206</v>
      </c>
      <c r="D62" s="31">
        <v>626913499</v>
      </c>
      <c r="E62" s="19">
        <f t="shared" si="21"/>
        <v>0.43370484187773961</v>
      </c>
      <c r="F62" s="31">
        <v>728629627</v>
      </c>
      <c r="G62" s="19">
        <f t="shared" si="22"/>
        <v>0.50407304623292437</v>
      </c>
      <c r="H62" s="20">
        <v>-221078902</v>
      </c>
      <c r="I62" s="21">
        <f>135803830+9045530+1467904+570424512</f>
        <v>716741776</v>
      </c>
      <c r="J62" s="21">
        <f>80690779+218955237+1932077+17772477</f>
        <v>319350570</v>
      </c>
      <c r="K62" s="19">
        <f t="shared" si="23"/>
        <v>1.2443729347343893</v>
      </c>
      <c r="L62" s="21">
        <f>534827562+34775265+95567294</f>
        <v>665170121</v>
      </c>
      <c r="M62" s="21">
        <f>599436309+30683534+3730565</f>
        <v>633850408</v>
      </c>
      <c r="N62" s="19">
        <f t="shared" si="24"/>
        <v>4.9411836932981901E-2</v>
      </c>
      <c r="O62" s="22">
        <f t="shared" si="10"/>
        <v>1.0775315267054817</v>
      </c>
      <c r="P62" s="23">
        <f t="shared" si="25"/>
        <v>1393912551</v>
      </c>
    </row>
    <row r="63" spans="1:16" x14ac:dyDescent="0.25">
      <c r="A63" s="16">
        <v>8</v>
      </c>
      <c r="B63" s="17" t="s">
        <v>72</v>
      </c>
      <c r="C63" s="31">
        <v>1812911729</v>
      </c>
      <c r="D63" s="31">
        <v>497946465</v>
      </c>
      <c r="E63" s="19">
        <f t="shared" si="21"/>
        <v>0.27466669062517823</v>
      </c>
      <c r="F63" s="31">
        <v>1086234063</v>
      </c>
      <c r="G63" s="19">
        <f t="shared" si="22"/>
        <v>0.59916544508163416</v>
      </c>
      <c r="H63" s="20">
        <v>-48907938</v>
      </c>
      <c r="I63" s="21">
        <f>353161134+9185237+589917+16315404</f>
        <v>379251692</v>
      </c>
      <c r="J63" s="21">
        <f>354732410+25520697+827444+24225081</f>
        <v>405305632</v>
      </c>
      <c r="K63" s="19">
        <f t="shared" si="23"/>
        <v>-6.428220568126719E-2</v>
      </c>
      <c r="L63" s="21">
        <f>631366649+7530370+19136504</f>
        <v>658033523</v>
      </c>
      <c r="M63" s="21">
        <f>626820132+15372472+15289512</f>
        <v>657482116</v>
      </c>
      <c r="N63" s="19">
        <f t="shared" si="24"/>
        <v>8.3866463677306768E-4</v>
      </c>
      <c r="O63" s="22">
        <f t="shared" si="10"/>
        <v>0.57634098984953996</v>
      </c>
      <c r="P63" s="23">
        <f t="shared" si="25"/>
        <v>2091693560</v>
      </c>
    </row>
    <row r="64" spans="1:16" x14ac:dyDescent="0.25">
      <c r="A64" s="16">
        <v>9</v>
      </c>
      <c r="B64" s="17" t="s">
        <v>73</v>
      </c>
      <c r="C64" s="31">
        <v>1803053819</v>
      </c>
      <c r="D64" s="31">
        <v>825486640</v>
      </c>
      <c r="E64" s="19">
        <f t="shared" si="21"/>
        <v>0.45782695519195704</v>
      </c>
      <c r="F64" s="31">
        <v>721235778</v>
      </c>
      <c r="G64" s="19">
        <f t="shared" si="22"/>
        <v>0.40000790348011239</v>
      </c>
      <c r="H64" s="20">
        <v>-160559975</v>
      </c>
      <c r="I64" s="21">
        <f>128431263+3197218+1407947+4773061</f>
        <v>137809489</v>
      </c>
      <c r="J64" s="21">
        <f>57512936+2583959+1914677+4353612</f>
        <v>66365184</v>
      </c>
      <c r="K64" s="19">
        <f t="shared" si="23"/>
        <v>1.0765329152104814</v>
      </c>
      <c r="L64" s="21">
        <f>593202863+13488490+16055772</f>
        <v>622747125</v>
      </c>
      <c r="M64" s="21">
        <f>831929025+12101822+11475528</f>
        <v>855506375</v>
      </c>
      <c r="N64" s="19">
        <f t="shared" si="24"/>
        <v>-0.27207190595160669</v>
      </c>
      <c r="O64" s="22">
        <f t="shared" si="10"/>
        <v>0.22129285462377687</v>
      </c>
      <c r="P64" s="23">
        <f t="shared" si="25"/>
        <v>2287991455</v>
      </c>
    </row>
    <row r="65" spans="1:16" x14ac:dyDescent="0.25">
      <c r="A65" s="16">
        <v>10</v>
      </c>
      <c r="B65" s="17" t="s">
        <v>74</v>
      </c>
      <c r="C65" s="31">
        <v>863478969</v>
      </c>
      <c r="D65" s="31">
        <v>347950017</v>
      </c>
      <c r="E65" s="19">
        <f t="shared" si="21"/>
        <v>0.40296293192058047</v>
      </c>
      <c r="F65" s="31">
        <v>481119324</v>
      </c>
      <c r="G65" s="19">
        <f t="shared" si="22"/>
        <v>0.55718707840352744</v>
      </c>
      <c r="H65" s="20">
        <v>-239288811</v>
      </c>
      <c r="I65" s="21">
        <f>170515794+55281823+652537+12338489</f>
        <v>238788643</v>
      </c>
      <c r="J65" s="21">
        <f>134677034+29503070+366495+5291056</f>
        <v>169837655</v>
      </c>
      <c r="K65" s="19">
        <f t="shared" si="23"/>
        <v>0.40598174768722517</v>
      </c>
      <c r="L65" s="21">
        <f>302027598+4495600+7857945</f>
        <v>314381143</v>
      </c>
      <c r="M65" s="21">
        <f>309536447+15759844+5499397</f>
        <v>330795688</v>
      </c>
      <c r="N65" s="19">
        <f t="shared" si="24"/>
        <v>-4.9621399538920197E-2</v>
      </c>
      <c r="O65" s="22">
        <f t="shared" si="10"/>
        <v>0.75955141813324345</v>
      </c>
      <c r="P65" s="23">
        <f t="shared" si="25"/>
        <v>939071469</v>
      </c>
    </row>
    <row r="66" spans="1:16" x14ac:dyDescent="0.25">
      <c r="A66" s="16">
        <v>11</v>
      </c>
      <c r="B66" s="17" t="s">
        <v>75</v>
      </c>
      <c r="C66" s="31">
        <v>2288961663</v>
      </c>
      <c r="D66" s="31">
        <v>737462687</v>
      </c>
      <c r="E66" s="19">
        <f t="shared" si="21"/>
        <v>0.32218219244155161</v>
      </c>
      <c r="F66" s="31">
        <v>1312397855</v>
      </c>
      <c r="G66" s="19">
        <f t="shared" si="22"/>
        <v>0.57335947395463216</v>
      </c>
      <c r="H66" s="20">
        <v>-122838385</v>
      </c>
      <c r="I66" s="21">
        <f>261040195+96089451+614419+4127927</f>
        <v>361871992</v>
      </c>
      <c r="J66" s="21">
        <f>132672021+99525476+54810+5061488</f>
        <v>237313795</v>
      </c>
      <c r="K66" s="19">
        <f t="shared" si="23"/>
        <v>0.52486707315097303</v>
      </c>
      <c r="L66" s="21">
        <f>516419330+10497817+18204209</f>
        <v>545121356</v>
      </c>
      <c r="M66" s="21">
        <f>562244090+7429622+20079775</f>
        <v>589753487</v>
      </c>
      <c r="N66" s="19">
        <f t="shared" si="24"/>
        <v>-7.5679299883478213E-2</v>
      </c>
      <c r="O66" s="22">
        <f t="shared" si="10"/>
        <v>0.66383748869306825</v>
      </c>
      <c r="P66" s="23">
        <f t="shared" si="25"/>
        <v>2472211027</v>
      </c>
    </row>
    <row r="67" spans="1:16" x14ac:dyDescent="0.25">
      <c r="A67" s="16">
        <v>12</v>
      </c>
      <c r="B67" s="17" t="s">
        <v>76</v>
      </c>
      <c r="C67" s="31">
        <v>2747414260</v>
      </c>
      <c r="D67" s="31">
        <v>677921313</v>
      </c>
      <c r="E67" s="19">
        <f t="shared" si="21"/>
        <v>0.24674885140910641</v>
      </c>
      <c r="F67" s="31">
        <v>1857934859</v>
      </c>
      <c r="G67" s="19">
        <f t="shared" si="22"/>
        <v>0.67624853159202869</v>
      </c>
      <c r="H67" s="20">
        <v>-57043201</v>
      </c>
      <c r="I67" s="21">
        <f>301767122+11032773+657826+7958368</f>
        <v>321416089</v>
      </c>
      <c r="J67" s="21">
        <f>213052851+35155243+539968+134959</f>
        <v>248883021</v>
      </c>
      <c r="K67" s="19">
        <f t="shared" si="23"/>
        <v>0.29143437631287838</v>
      </c>
      <c r="L67" s="21">
        <f>518781764+1203693+25000+8725441</f>
        <v>528735898</v>
      </c>
      <c r="M67" s="21">
        <f>546767611+42601124+24662</f>
        <v>589393397</v>
      </c>
      <c r="N67" s="19">
        <f t="shared" si="24"/>
        <v>-0.10291513157213061</v>
      </c>
      <c r="O67" s="22">
        <f t="shared" si="10"/>
        <v>0.60789534097418141</v>
      </c>
      <c r="P67" s="23">
        <f t="shared" si="25"/>
        <v>2954734069</v>
      </c>
    </row>
    <row r="68" spans="1:16" x14ac:dyDescent="0.25">
      <c r="A68" s="16">
        <v>13</v>
      </c>
      <c r="B68" s="17" t="s">
        <v>77</v>
      </c>
      <c r="C68" s="31">
        <v>3041397866</v>
      </c>
      <c r="D68" s="31">
        <v>1053660823</v>
      </c>
      <c r="E68" s="19">
        <f t="shared" si="21"/>
        <v>0.34643965354843842</v>
      </c>
      <c r="F68" s="31">
        <v>1756738379</v>
      </c>
      <c r="G68" s="19">
        <f t="shared" si="22"/>
        <v>0.57760886815852064</v>
      </c>
      <c r="H68" s="20">
        <v>-204189245</v>
      </c>
      <c r="I68" s="21">
        <f>473328963+1238561+1313925+17387586</f>
        <v>493269035</v>
      </c>
      <c r="J68" s="21">
        <f>193777427+17479609+1716660+5920256</f>
        <v>218893952</v>
      </c>
      <c r="K68" s="19">
        <f t="shared" si="23"/>
        <v>1.2534612331363086</v>
      </c>
      <c r="L68" s="21">
        <f>845758899+1984782+19249270</f>
        <v>866992951</v>
      </c>
      <c r="M68" s="21">
        <f>741007002+494465+7839686</f>
        <v>749341153</v>
      </c>
      <c r="N68" s="19">
        <f t="shared" si="24"/>
        <v>0.1570069887780472</v>
      </c>
      <c r="O68" s="22">
        <f t="shared" si="10"/>
        <v>0.56894238232393657</v>
      </c>
      <c r="P68" s="23">
        <f t="shared" si="25"/>
        <v>3415121782</v>
      </c>
    </row>
    <row r="69" spans="1:16" x14ac:dyDescent="0.25">
      <c r="A69" s="16">
        <v>14</v>
      </c>
      <c r="B69" s="17" t="s">
        <v>78</v>
      </c>
      <c r="C69" s="31">
        <v>1182659579</v>
      </c>
      <c r="D69" s="31">
        <v>523258103</v>
      </c>
      <c r="E69" s="19">
        <f t="shared" si="21"/>
        <v>0.44244185925627211</v>
      </c>
      <c r="F69" s="31">
        <v>385942763</v>
      </c>
      <c r="G69" s="19">
        <f t="shared" si="22"/>
        <v>0.32633461889881671</v>
      </c>
      <c r="H69" s="20">
        <v>-339366225</v>
      </c>
      <c r="I69" s="21">
        <f>81009060+38020357+303695+12648354</f>
        <v>131981466</v>
      </c>
      <c r="J69" s="21">
        <f>49128164+36238702+263795+3522229</f>
        <v>89152890</v>
      </c>
      <c r="K69" s="19">
        <f t="shared" si="23"/>
        <v>0.48039470173092536</v>
      </c>
      <c r="L69" s="21">
        <f>496299598+7513165+2375158</f>
        <v>506187921</v>
      </c>
      <c r="M69" s="21">
        <f>541510181+5002173+5024344</f>
        <v>551536698</v>
      </c>
      <c r="N69" s="19">
        <f t="shared" si="24"/>
        <v>-8.222259219458139E-2</v>
      </c>
      <c r="O69" s="22">
        <f t="shared" si="10"/>
        <v>0.2607361031833077</v>
      </c>
      <c r="P69" s="23">
        <f t="shared" si="25"/>
        <v>1556866034</v>
      </c>
    </row>
    <row r="70" spans="1:16" x14ac:dyDescent="0.25">
      <c r="A70" s="16">
        <v>15</v>
      </c>
      <c r="B70" s="17" t="s">
        <v>79</v>
      </c>
      <c r="C70" s="31">
        <v>1277517182</v>
      </c>
      <c r="D70" s="31">
        <v>456645281</v>
      </c>
      <c r="E70" s="19">
        <f t="shared" si="21"/>
        <v>0.35744746719187376</v>
      </c>
      <c r="F70" s="31">
        <v>591884243</v>
      </c>
      <c r="G70" s="19">
        <f t="shared" si="22"/>
        <v>0.46330824456966091</v>
      </c>
      <c r="H70" s="20">
        <v>-19717128</v>
      </c>
      <c r="I70" s="21">
        <f>99700135+12004343+1619527+4675385</f>
        <v>117999390</v>
      </c>
      <c r="J70" s="21">
        <f>61688818+16337007+1085315+10407793</f>
        <v>89518933</v>
      </c>
      <c r="K70" s="19">
        <f t="shared" si="23"/>
        <v>0.31815009457273136</v>
      </c>
      <c r="L70" s="21">
        <f>435992582+5486045+6229613</f>
        <v>447708240</v>
      </c>
      <c r="M70" s="21">
        <f>476569081+6978333+4205185</f>
        <v>487752599</v>
      </c>
      <c r="N70" s="19">
        <f t="shared" si="24"/>
        <v>-8.2099734746877262E-2</v>
      </c>
      <c r="O70" s="22">
        <f t="shared" si="10"/>
        <v>0.26356314103131095</v>
      </c>
      <c r="P70" s="23">
        <f t="shared" si="25"/>
        <v>1607226032</v>
      </c>
    </row>
    <row r="71" spans="1:16" x14ac:dyDescent="0.25">
      <c r="A71" s="16">
        <v>16</v>
      </c>
      <c r="B71" s="17" t="s">
        <v>80</v>
      </c>
      <c r="C71" s="31">
        <v>963292572</v>
      </c>
      <c r="D71" s="31">
        <v>290834726</v>
      </c>
      <c r="E71" s="19">
        <f t="shared" si="21"/>
        <v>0.30191733483023264</v>
      </c>
      <c r="F71" s="31">
        <v>294738091</v>
      </c>
      <c r="G71" s="19">
        <f t="shared" si="22"/>
        <v>0.30596944227241485</v>
      </c>
      <c r="H71" s="20">
        <v>293777372</v>
      </c>
      <c r="I71" s="21">
        <f>97256058+62108916+649726+4243287</f>
        <v>164257987</v>
      </c>
      <c r="J71" s="21">
        <f>116197787+11746800+695800+5554874</f>
        <v>134195261</v>
      </c>
      <c r="K71" s="19">
        <f t="shared" si="23"/>
        <v>0.22402226260434044</v>
      </c>
      <c r="L71" s="21">
        <f>631685674+8616988+7450969</f>
        <v>647753631</v>
      </c>
      <c r="M71" s="21">
        <f>632731205+16196118+4031986</f>
        <v>652959309</v>
      </c>
      <c r="N71" s="19">
        <f t="shared" si="24"/>
        <v>-7.9724386010706638E-3</v>
      </c>
      <c r="O71" s="22">
        <f t="shared" si="10"/>
        <v>0.25358095908535322</v>
      </c>
      <c r="P71" s="23">
        <f t="shared" si="25"/>
        <v>1446788216</v>
      </c>
    </row>
    <row r="72" spans="1:16" x14ac:dyDescent="0.25">
      <c r="A72" s="4"/>
      <c r="B72" s="25" t="s">
        <v>81</v>
      </c>
      <c r="C72" s="26">
        <f t="shared" ref="C72:P72" si="26">AVERAGE(C57:C71)</f>
        <v>1844914303</v>
      </c>
      <c r="D72" s="26">
        <f t="shared" si="26"/>
        <v>610348182.20000005</v>
      </c>
      <c r="E72" s="27">
        <f t="shared" si="26"/>
        <v>0.3430269868660617</v>
      </c>
      <c r="F72" s="26">
        <f t="shared" si="26"/>
        <v>1019084515.2</v>
      </c>
      <c r="G72" s="27">
        <f t="shared" si="26"/>
        <v>0.51932347833075287</v>
      </c>
      <c r="H72" s="28">
        <f t="shared" si="26"/>
        <v>-81244985.86666666</v>
      </c>
      <c r="I72" s="26">
        <f t="shared" si="26"/>
        <v>299604928.86666667</v>
      </c>
      <c r="J72" s="26">
        <f t="shared" si="26"/>
        <v>204421071.59999999</v>
      </c>
      <c r="K72" s="27">
        <f t="shared" si="26"/>
        <v>0.61815706840225215</v>
      </c>
      <c r="L72" s="26">
        <f t="shared" si="26"/>
        <v>618872314.66666663</v>
      </c>
      <c r="M72" s="26">
        <f t="shared" si="26"/>
        <v>648113110.79999995</v>
      </c>
      <c r="N72" s="27">
        <f t="shared" si="26"/>
        <v>-5.11186675515415E-2</v>
      </c>
      <c r="O72" s="29">
        <f t="shared" si="26"/>
        <v>0.49832014030457855</v>
      </c>
      <c r="P72" s="30">
        <f t="shared" si="26"/>
        <v>2164181688.8000002</v>
      </c>
    </row>
    <row r="73" spans="1:16" x14ac:dyDescent="0.25">
      <c r="A73" s="10">
        <v>5</v>
      </c>
      <c r="B73" s="11" t="s">
        <v>82</v>
      </c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5"/>
    </row>
    <row r="74" spans="1:16" x14ac:dyDescent="0.25">
      <c r="A74" s="16">
        <v>1</v>
      </c>
      <c r="B74" s="24" t="s">
        <v>83</v>
      </c>
      <c r="C74" s="31">
        <v>3114842625</v>
      </c>
      <c r="D74" s="31">
        <v>1036347205</v>
      </c>
      <c r="E74" s="19">
        <f t="shared" ref="E74:E85" si="27">D74/C74</f>
        <v>0.33271254113520421</v>
      </c>
      <c r="F74" s="31">
        <v>1715618041</v>
      </c>
      <c r="G74" s="19">
        <f t="shared" ref="G74:G85" si="28">F74/C74</f>
        <v>0.55078803250934705</v>
      </c>
      <c r="H74" s="20">
        <v>-356109880</v>
      </c>
      <c r="I74" s="18">
        <f>237741992+12818648+1402119+31117118</f>
        <v>283079877</v>
      </c>
      <c r="J74" s="18">
        <f>110891186+28222284+2315894+210280</f>
        <v>141639644</v>
      </c>
      <c r="K74" s="19">
        <f>I74/J74-1</f>
        <v>0.99859212439138867</v>
      </c>
      <c r="L74" s="18">
        <f>1014642358+8152801+22292441</f>
        <v>1045087600</v>
      </c>
      <c r="M74" s="18">
        <f>1057645136+42017791+1668271</f>
        <v>1101331198</v>
      </c>
      <c r="N74" s="19">
        <f>L74/M74-1</f>
        <v>-5.1068741267057072E-2</v>
      </c>
      <c r="O74" s="22">
        <f t="shared" si="10"/>
        <v>0.27086712826752513</v>
      </c>
      <c r="P74" s="23">
        <f>C74-(I74-L74)</f>
        <v>3876850348</v>
      </c>
    </row>
    <row r="75" spans="1:16" x14ac:dyDescent="0.25">
      <c r="A75" s="16">
        <v>2</v>
      </c>
      <c r="B75" s="24" t="s">
        <v>84</v>
      </c>
      <c r="C75" s="31">
        <v>793445928</v>
      </c>
      <c r="D75" s="31">
        <v>192063726</v>
      </c>
      <c r="E75" s="19">
        <f t="shared" si="27"/>
        <v>0.24206277859932504</v>
      </c>
      <c r="F75" s="31">
        <v>276992995</v>
      </c>
      <c r="G75" s="19">
        <f t="shared" si="28"/>
        <v>0.34910128746668673</v>
      </c>
      <c r="H75" s="20">
        <v>228940433</v>
      </c>
      <c r="I75" s="18">
        <f>37103452+25976431+1133650+12374109</f>
        <v>76587642</v>
      </c>
      <c r="J75" s="18">
        <f>53446058+3526784+477627+930411</f>
        <v>58380880</v>
      </c>
      <c r="K75" s="19">
        <f t="shared" ref="K75:K85" si="29">I75/J75-1</f>
        <v>0.31186172596233552</v>
      </c>
      <c r="L75" s="18">
        <f>393682157+11160172+411717</f>
        <v>405254046</v>
      </c>
      <c r="M75" s="18">
        <f>232249724+2998362+30190</f>
        <v>235278276</v>
      </c>
      <c r="N75" s="19">
        <f t="shared" ref="N75:N85" si="30">L75/M75-1</f>
        <v>0.72244566259912579</v>
      </c>
      <c r="O75" s="22">
        <f t="shared" si="10"/>
        <v>0.18898674240503449</v>
      </c>
      <c r="P75" s="23">
        <f t="shared" ref="P75:P85" si="31">C75-(I75-L75)</f>
        <v>1122112332</v>
      </c>
    </row>
    <row r="76" spans="1:16" x14ac:dyDescent="0.25">
      <c r="A76" s="16">
        <v>3</v>
      </c>
      <c r="B76" s="24" t="s">
        <v>85</v>
      </c>
      <c r="C76" s="31">
        <v>2225626881</v>
      </c>
      <c r="D76" s="31">
        <v>718237382</v>
      </c>
      <c r="E76" s="19">
        <f t="shared" si="27"/>
        <v>0.32271239538466018</v>
      </c>
      <c r="F76" s="31">
        <v>1382749212</v>
      </c>
      <c r="G76" s="19">
        <f t="shared" si="28"/>
        <v>0.62128527643353892</v>
      </c>
      <c r="H76" s="20">
        <v>-199087089</v>
      </c>
      <c r="I76" s="18">
        <f>233257302+18176796+1421228+31714356</f>
        <v>284569682</v>
      </c>
      <c r="J76" s="18">
        <f>104687558+32611386+3121323+4829448</f>
        <v>145249715</v>
      </c>
      <c r="K76" s="19">
        <f t="shared" si="29"/>
        <v>0.95917549304657834</v>
      </c>
      <c r="L76" s="18">
        <f>665519524+665519524+24220066</f>
        <v>1355259114</v>
      </c>
      <c r="M76" s="18">
        <f>857680066+41812366+2784565</f>
        <v>902276997</v>
      </c>
      <c r="N76" s="19">
        <f t="shared" si="30"/>
        <v>0.50204329546927373</v>
      </c>
      <c r="O76" s="22">
        <f t="shared" si="10"/>
        <v>0.20997437247265766</v>
      </c>
      <c r="P76" s="23">
        <f t="shared" si="31"/>
        <v>3296316313</v>
      </c>
    </row>
    <row r="77" spans="1:16" x14ac:dyDescent="0.25">
      <c r="A77" s="16">
        <v>4</v>
      </c>
      <c r="B77" s="17" t="s">
        <v>86</v>
      </c>
      <c r="C77" s="31">
        <v>1649035506</v>
      </c>
      <c r="D77" s="31">
        <v>410850372</v>
      </c>
      <c r="E77" s="19">
        <f t="shared" si="27"/>
        <v>0.24914586162949484</v>
      </c>
      <c r="F77" s="31">
        <v>1078610315</v>
      </c>
      <c r="G77" s="19">
        <f t="shared" si="28"/>
        <v>0.65408556157553099</v>
      </c>
      <c r="H77" s="20">
        <v>-48159833</v>
      </c>
      <c r="I77" s="18">
        <f>258944110+29774024+932656+82559915</f>
        <v>372210705</v>
      </c>
      <c r="J77" s="18">
        <f>178410874+15588949+1571140+73285717</f>
        <v>268856680</v>
      </c>
      <c r="K77" s="19">
        <f t="shared" si="29"/>
        <v>0.38442052100025936</v>
      </c>
      <c r="L77" s="18">
        <f>356729560+13160753+23351551</f>
        <v>393241864</v>
      </c>
      <c r="M77" s="18">
        <f>23351551+11995590+6628453</f>
        <v>41975594</v>
      </c>
      <c r="N77" s="19">
        <f t="shared" si="30"/>
        <v>8.3683454247246623</v>
      </c>
      <c r="O77" s="22">
        <f t="shared" si="10"/>
        <v>0.9465185146208136</v>
      </c>
      <c r="P77" s="23">
        <f t="shared" si="31"/>
        <v>1670066665</v>
      </c>
    </row>
    <row r="78" spans="1:16" x14ac:dyDescent="0.25">
      <c r="A78" s="16">
        <v>5</v>
      </c>
      <c r="B78" s="24" t="s">
        <v>87</v>
      </c>
      <c r="C78" s="31">
        <v>3954242855</v>
      </c>
      <c r="D78" s="31">
        <v>1133559604</v>
      </c>
      <c r="E78" s="19">
        <f t="shared" si="27"/>
        <v>0.28666919194572332</v>
      </c>
      <c r="F78" s="31">
        <v>2556779673</v>
      </c>
      <c r="G78" s="19">
        <f t="shared" si="28"/>
        <v>0.64659146308301285</v>
      </c>
      <c r="H78" s="20">
        <v>-312720982</v>
      </c>
      <c r="I78" s="18">
        <f>559243794+84078896+937298+61888794</f>
        <v>706148782</v>
      </c>
      <c r="J78" s="18">
        <f>404995803+37916146+4195516+25801788</f>
        <v>472909253</v>
      </c>
      <c r="K78" s="19">
        <f t="shared" si="29"/>
        <v>0.49320144936982224</v>
      </c>
      <c r="L78" s="18">
        <f>1044393048+7331669+30288565</f>
        <v>1082013282</v>
      </c>
      <c r="M78" s="18">
        <f>1229731780+15473682+331025</f>
        <v>1245536487</v>
      </c>
      <c r="N78" s="19">
        <f t="shared" si="30"/>
        <v>-0.13128736629294746</v>
      </c>
      <c r="O78" s="22">
        <f t="shared" si="10"/>
        <v>0.65262487415565751</v>
      </c>
      <c r="P78" s="23">
        <f t="shared" si="31"/>
        <v>4330107355</v>
      </c>
    </row>
    <row r="79" spans="1:16" x14ac:dyDescent="0.25">
      <c r="A79" s="16">
        <v>6</v>
      </c>
      <c r="B79" s="17" t="s">
        <v>88</v>
      </c>
      <c r="C79" s="31">
        <v>3981912998</v>
      </c>
      <c r="D79" s="31">
        <v>1143515491</v>
      </c>
      <c r="E79" s="19">
        <f t="shared" si="27"/>
        <v>0.28717741738062957</v>
      </c>
      <c r="F79" s="31">
        <v>2707970912</v>
      </c>
      <c r="G79" s="19">
        <f t="shared" si="28"/>
        <v>0.68006782502785357</v>
      </c>
      <c r="H79" s="20">
        <v>-444791105</v>
      </c>
      <c r="I79" s="18">
        <f>469265309+41079323+1155204+56158606</f>
        <v>567658442</v>
      </c>
      <c r="J79" s="18">
        <f>354383572+63241052+2668613+23448510</f>
        <v>443741747</v>
      </c>
      <c r="K79" s="19">
        <f t="shared" si="29"/>
        <v>0.27925408379482497</v>
      </c>
      <c r="L79" s="18">
        <f>1003658354+3520152+40370276</f>
        <v>1047548782</v>
      </c>
      <c r="M79" s="18">
        <f>1322299947+38699174+8947989</f>
        <v>1369947110</v>
      </c>
      <c r="N79" s="19">
        <f t="shared" si="30"/>
        <v>-0.23533633207197324</v>
      </c>
      <c r="O79" s="22">
        <f t="shared" si="10"/>
        <v>0.54189213118668877</v>
      </c>
      <c r="P79" s="23">
        <f t="shared" si="31"/>
        <v>4461803338</v>
      </c>
    </row>
    <row r="80" spans="1:16" x14ac:dyDescent="0.25">
      <c r="A80" s="16">
        <v>7</v>
      </c>
      <c r="B80" s="17" t="s">
        <v>89</v>
      </c>
      <c r="C80" s="32"/>
      <c r="D80" s="32"/>
      <c r="E80" s="19"/>
      <c r="F80" s="32"/>
      <c r="G80" s="19"/>
      <c r="H80" s="20"/>
      <c r="I80" s="18"/>
      <c r="J80" s="18"/>
      <c r="K80" s="19"/>
      <c r="L80" s="18"/>
      <c r="M80" s="18"/>
      <c r="N80" s="19"/>
      <c r="O80" s="22"/>
      <c r="P80" s="23"/>
    </row>
    <row r="81" spans="1:16" x14ac:dyDescent="0.25">
      <c r="A81" s="16">
        <v>8</v>
      </c>
      <c r="B81" s="24" t="s">
        <v>90</v>
      </c>
      <c r="C81" s="31">
        <v>1530616540</v>
      </c>
      <c r="D81" s="31">
        <v>369236779</v>
      </c>
      <c r="E81" s="19">
        <f t="shared" si="27"/>
        <v>0.24123401867851238</v>
      </c>
      <c r="F81" s="31">
        <v>663145047</v>
      </c>
      <c r="G81" s="19">
        <f t="shared" si="28"/>
        <v>0.4332535482727764</v>
      </c>
      <c r="H81" s="20">
        <v>292000981</v>
      </c>
      <c r="I81" s="18">
        <f>107799253+11686871+698228+10477041</f>
        <v>130661393</v>
      </c>
      <c r="J81" s="18">
        <f>60060498+9954940+1563736+3736148</f>
        <v>75315322</v>
      </c>
      <c r="K81" s="19">
        <f t="shared" si="29"/>
        <v>0.7348580545137946</v>
      </c>
      <c r="L81" s="18">
        <f>397347347+2485151+4682784</f>
        <v>404515282</v>
      </c>
      <c r="M81" s="18">
        <f>483791086+27097283+1274618</f>
        <v>512162987</v>
      </c>
      <c r="N81" s="19">
        <f t="shared" si="30"/>
        <v>-0.21018251559049117</v>
      </c>
      <c r="O81" s="22">
        <f t="shared" ref="O81:O142" si="32">I81/L81</f>
        <v>0.3230073097708086</v>
      </c>
      <c r="P81" s="23">
        <f t="shared" si="31"/>
        <v>1804470429</v>
      </c>
    </row>
    <row r="82" spans="1:16" x14ac:dyDescent="0.25">
      <c r="A82" s="16">
        <v>9</v>
      </c>
      <c r="B82" s="24" t="s">
        <v>91</v>
      </c>
      <c r="C82" s="31">
        <v>1522917934</v>
      </c>
      <c r="D82" s="31">
        <v>661849348</v>
      </c>
      <c r="E82" s="19">
        <f t="shared" si="27"/>
        <v>0.43459291746708134</v>
      </c>
      <c r="F82" s="31">
        <v>943320392</v>
      </c>
      <c r="G82" s="19">
        <f t="shared" si="28"/>
        <v>0.61941643140437275</v>
      </c>
      <c r="H82" s="20">
        <v>-367136658</v>
      </c>
      <c r="I82" s="18">
        <f>200776810+6144280+778182+9529379</f>
        <v>217228651</v>
      </c>
      <c r="J82" s="18">
        <f>127054728+15071410+767376+8997963</f>
        <v>151891477</v>
      </c>
      <c r="K82" s="19">
        <f t="shared" si="29"/>
        <v>0.43015694685752504</v>
      </c>
      <c r="L82" s="18">
        <f>582858236+8135662+15157616</f>
        <v>606151514</v>
      </c>
      <c r="M82" s="18">
        <f>717998572+6738414+5089367</f>
        <v>729826353</v>
      </c>
      <c r="N82" s="19">
        <f t="shared" si="30"/>
        <v>-0.16945789706226189</v>
      </c>
      <c r="O82" s="22">
        <f t="shared" si="32"/>
        <v>0.35837351880308921</v>
      </c>
      <c r="P82" s="23">
        <f t="shared" si="31"/>
        <v>1911840797</v>
      </c>
    </row>
    <row r="83" spans="1:16" x14ac:dyDescent="0.25">
      <c r="A83" s="16">
        <v>10</v>
      </c>
      <c r="B83" s="17" t="s">
        <v>92</v>
      </c>
      <c r="C83" s="31">
        <v>1928989188</v>
      </c>
      <c r="D83" s="31">
        <v>602176814</v>
      </c>
      <c r="E83" s="19">
        <f t="shared" si="27"/>
        <v>0.31217220798647627</v>
      </c>
      <c r="F83" s="31">
        <v>1318133721</v>
      </c>
      <c r="G83" s="19">
        <f t="shared" si="28"/>
        <v>0.68332872428728197</v>
      </c>
      <c r="H83" s="20">
        <v>-215531826</v>
      </c>
      <c r="I83" s="18">
        <f>297634800+11872119+2403265+32026636</f>
        <v>343936820</v>
      </c>
      <c r="J83" s="18">
        <f>215807488+57472660+2120924+8734156</f>
        <v>284135228</v>
      </c>
      <c r="K83" s="19">
        <f t="shared" si="29"/>
        <v>0.21046877017305299</v>
      </c>
      <c r="L83" s="18">
        <f>1195239+18860319</f>
        <v>20055558</v>
      </c>
      <c r="M83" s="18">
        <f>452224+669005</f>
        <v>1121229</v>
      </c>
      <c r="N83" s="19">
        <f t="shared" si="30"/>
        <v>16.88712029389179</v>
      </c>
      <c r="O83" s="22">
        <f t="shared" si="32"/>
        <v>17.149202231122167</v>
      </c>
      <c r="P83" s="23">
        <f t="shared" si="31"/>
        <v>1605107926</v>
      </c>
    </row>
    <row r="84" spans="1:16" x14ac:dyDescent="0.25">
      <c r="A84" s="16">
        <v>11</v>
      </c>
      <c r="B84" s="17" t="s">
        <v>93</v>
      </c>
      <c r="C84" s="31">
        <v>2015549462</v>
      </c>
      <c r="D84" s="31">
        <v>479224834</v>
      </c>
      <c r="E84" s="19">
        <f t="shared" si="27"/>
        <v>0.23776386689338413</v>
      </c>
      <c r="F84" s="31">
        <v>1255830776</v>
      </c>
      <c r="G84" s="19">
        <f t="shared" si="28"/>
        <v>0.62307117720339034</v>
      </c>
      <c r="H84" s="20">
        <v>35808827</v>
      </c>
      <c r="I84" s="18">
        <f>265633522+12134626+839008+26460926</f>
        <v>305068082</v>
      </c>
      <c r="J84" s="18">
        <f>188539856+69070716+1294092+15963682</f>
        <v>274868346</v>
      </c>
      <c r="K84" s="19">
        <f t="shared" si="29"/>
        <v>0.10986982109609666</v>
      </c>
      <c r="L84" s="18">
        <f>520235444+2245943+14157944</f>
        <v>536639331</v>
      </c>
      <c r="M84" s="18">
        <f>626153688+783618+7271791</f>
        <v>634209097</v>
      </c>
      <c r="N84" s="19">
        <f t="shared" si="30"/>
        <v>-0.15384479103427307</v>
      </c>
      <c r="O84" s="22">
        <f t="shared" si="32"/>
        <v>0.56847879828621806</v>
      </c>
      <c r="P84" s="23">
        <f t="shared" si="31"/>
        <v>2247120711</v>
      </c>
    </row>
    <row r="85" spans="1:16" x14ac:dyDescent="0.25">
      <c r="A85" s="16">
        <v>12</v>
      </c>
      <c r="B85" s="17" t="s">
        <v>94</v>
      </c>
      <c r="C85" s="31">
        <v>1565587945</v>
      </c>
      <c r="D85" s="31">
        <v>516813859</v>
      </c>
      <c r="E85" s="19">
        <f t="shared" si="27"/>
        <v>0.330108481385886</v>
      </c>
      <c r="F85" s="31">
        <v>926760636</v>
      </c>
      <c r="G85" s="19">
        <f t="shared" si="28"/>
        <v>0.59195693155391538</v>
      </c>
      <c r="H85" s="20">
        <v>-102526230</v>
      </c>
      <c r="I85" s="18">
        <f>128627204+25073954+2732664+25392130</f>
        <v>181825952</v>
      </c>
      <c r="J85" s="18">
        <f>157994593+58012852+2288184+14128986</f>
        <v>232424615</v>
      </c>
      <c r="K85" s="19">
        <f t="shared" si="29"/>
        <v>-0.21769924411835639</v>
      </c>
      <c r="L85" s="18">
        <f>543649778+81220053+712951</f>
        <v>625582782</v>
      </c>
      <c r="M85" s="18">
        <f>517878503+83980538+462446</f>
        <v>602321487</v>
      </c>
      <c r="N85" s="19">
        <f t="shared" si="30"/>
        <v>3.8619400937957904E-2</v>
      </c>
      <c r="O85" s="22">
        <f t="shared" si="32"/>
        <v>0.29065050578709822</v>
      </c>
      <c r="P85" s="23">
        <f t="shared" si="31"/>
        <v>2009344775</v>
      </c>
    </row>
    <row r="86" spans="1:16" x14ac:dyDescent="0.25">
      <c r="A86" s="4"/>
      <c r="B86" s="25" t="s">
        <v>95</v>
      </c>
      <c r="C86" s="26">
        <f t="shared" ref="C86:O86" si="33">AVERAGE(C74:C85)</f>
        <v>2207524351.090909</v>
      </c>
      <c r="D86" s="26">
        <f t="shared" si="33"/>
        <v>660352310.36363637</v>
      </c>
      <c r="E86" s="27">
        <f t="shared" si="33"/>
        <v>0.29785015258967068</v>
      </c>
      <c r="F86" s="26">
        <f t="shared" si="33"/>
        <v>1347810156.3636363</v>
      </c>
      <c r="G86" s="27">
        <f t="shared" si="33"/>
        <v>0.58663147807433702</v>
      </c>
      <c r="H86" s="28">
        <f t="shared" si="33"/>
        <v>-135392123.81818181</v>
      </c>
      <c r="I86" s="26">
        <f t="shared" si="33"/>
        <v>315361457.09090906</v>
      </c>
      <c r="J86" s="26">
        <f t="shared" si="33"/>
        <v>231764809.72727272</v>
      </c>
      <c r="K86" s="27">
        <f t="shared" si="33"/>
        <v>0.42674179509884741</v>
      </c>
      <c r="L86" s="26">
        <f t="shared" si="33"/>
        <v>683759014.09090912</v>
      </c>
      <c r="M86" s="26">
        <f t="shared" si="33"/>
        <v>670544255.90909088</v>
      </c>
      <c r="N86" s="27">
        <f t="shared" si="33"/>
        <v>2.3243087667548914</v>
      </c>
      <c r="O86" s="29">
        <f t="shared" si="33"/>
        <v>1.9545978297161601</v>
      </c>
      <c r="P86" s="30">
        <f>AVERAGE(P74:P85)</f>
        <v>2575921908.090909</v>
      </c>
    </row>
    <row r="87" spans="1:16" x14ac:dyDescent="0.25">
      <c r="A87" s="10">
        <v>6</v>
      </c>
      <c r="B87" s="11" t="s">
        <v>96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5"/>
    </row>
    <row r="88" spans="1:16" x14ac:dyDescent="0.25">
      <c r="A88" s="16">
        <v>1</v>
      </c>
      <c r="B88" s="17" t="s">
        <v>97</v>
      </c>
      <c r="C88" s="31">
        <v>2751569366</v>
      </c>
      <c r="D88" s="31">
        <v>858305019</v>
      </c>
      <c r="E88" s="19">
        <f t="shared" ref="E88:E103" si="34">D88/C88</f>
        <v>0.31193290258487344</v>
      </c>
      <c r="F88" s="31">
        <v>1694735405</v>
      </c>
      <c r="G88" s="19">
        <f t="shared" ref="G88:G103" si="35">F88/C88</f>
        <v>0.61591592999294931</v>
      </c>
      <c r="H88" s="20">
        <v>-216805222</v>
      </c>
      <c r="I88" s="18">
        <f>409677858+85768154+4923738+5325923</f>
        <v>505695673</v>
      </c>
      <c r="J88" s="18">
        <f>236821190+151860560+1947574+5230391</f>
        <v>395859715</v>
      </c>
      <c r="K88" s="19">
        <f>I88/J88-1</f>
        <v>0.27746182255499274</v>
      </c>
      <c r="L88" s="18">
        <f>740219803+1567570+5990941</f>
        <v>747778314</v>
      </c>
      <c r="M88" s="18">
        <f>328200692+1013672+3606637</f>
        <v>332821001</v>
      </c>
      <c r="N88" s="19">
        <f>L88/M88-1</f>
        <v>1.2467882487980377</v>
      </c>
      <c r="O88" s="22">
        <f t="shared" si="32"/>
        <v>0.67626415948724616</v>
      </c>
      <c r="P88" s="23">
        <f>C88-(I88-L88)</f>
        <v>2993652007</v>
      </c>
    </row>
    <row r="89" spans="1:16" x14ac:dyDescent="0.25">
      <c r="A89" s="16">
        <v>2</v>
      </c>
      <c r="B89" s="17" t="s">
        <v>99</v>
      </c>
      <c r="C89" s="31">
        <v>1817769310</v>
      </c>
      <c r="D89" s="31">
        <v>566912415</v>
      </c>
      <c r="E89" s="19">
        <f t="shared" si="34"/>
        <v>0.31187258574631782</v>
      </c>
      <c r="F89" s="31">
        <v>1123984366</v>
      </c>
      <c r="G89" s="19">
        <f t="shared" si="35"/>
        <v>0.61833168808422667</v>
      </c>
      <c r="H89" s="20">
        <v>-192254229</v>
      </c>
      <c r="I89" s="18">
        <f>308863200+3469984+705970+50201525</f>
        <v>363240679</v>
      </c>
      <c r="J89" s="18">
        <f>209524722+57853809+664634+5898253</f>
        <v>273941418</v>
      </c>
      <c r="K89" s="19">
        <f t="shared" ref="K89:K103" si="36">I89/J89-1</f>
        <v>0.32597940702781925</v>
      </c>
      <c r="L89" s="18">
        <f>588359145+4576730+7179511</f>
        <v>600115386</v>
      </c>
      <c r="M89" s="18">
        <f>210205901+42545828+9850373</f>
        <v>262602102</v>
      </c>
      <c r="N89" s="19">
        <f t="shared" ref="N89:N103" si="37">L89/M89-1</f>
        <v>1.285264974763987</v>
      </c>
      <c r="O89" s="22">
        <f t="shared" si="32"/>
        <v>0.60528472936036337</v>
      </c>
      <c r="P89" s="23">
        <f t="shared" ref="P89:P103" si="38">C89-(I89-L89)</f>
        <v>2054644017</v>
      </c>
    </row>
    <row r="90" spans="1:16" x14ac:dyDescent="0.25">
      <c r="A90" s="16">
        <v>3</v>
      </c>
      <c r="B90" s="17" t="s">
        <v>98</v>
      </c>
      <c r="C90" s="31">
        <v>1915177866</v>
      </c>
      <c r="D90" s="31">
        <v>410238470</v>
      </c>
      <c r="E90" s="19">
        <f t="shared" si="34"/>
        <v>0.21420384878236684</v>
      </c>
      <c r="F90" s="31">
        <v>1284421756</v>
      </c>
      <c r="G90" s="19">
        <f t="shared" si="35"/>
        <v>0.6706540310444461</v>
      </c>
      <c r="H90" s="20">
        <v>-39367602</v>
      </c>
      <c r="I90" s="18">
        <f>269939784+20932534+478843+16271400</f>
        <v>307622561</v>
      </c>
      <c r="J90" s="18">
        <f>268568549+57743547+411411+1192275</f>
        <v>327915782</v>
      </c>
      <c r="K90" s="19">
        <f t="shared" si="36"/>
        <v>-6.1885466067625905E-2</v>
      </c>
      <c r="L90" s="18">
        <f>462557744+3442203+1888013</f>
        <v>467887960</v>
      </c>
      <c r="M90" s="18">
        <f>155601547+10008725+10553310</f>
        <v>176163582</v>
      </c>
      <c r="N90" s="19">
        <f t="shared" si="37"/>
        <v>1.6559857303537346</v>
      </c>
      <c r="O90" s="22">
        <f t="shared" si="32"/>
        <v>0.65747056410684301</v>
      </c>
      <c r="P90" s="23">
        <f t="shared" si="38"/>
        <v>2075443265</v>
      </c>
    </row>
    <row r="91" spans="1:16" x14ac:dyDescent="0.25">
      <c r="A91" s="16">
        <v>4</v>
      </c>
      <c r="B91" s="17" t="s">
        <v>100</v>
      </c>
      <c r="C91" s="31">
        <v>2915037487</v>
      </c>
      <c r="D91" s="31">
        <v>665748978</v>
      </c>
      <c r="E91" s="19">
        <f t="shared" si="34"/>
        <v>0.22838436245468427</v>
      </c>
      <c r="F91" s="31">
        <v>1594590659</v>
      </c>
      <c r="G91" s="19">
        <f t="shared" si="35"/>
        <v>0.54702235086556883</v>
      </c>
      <c r="H91" s="20">
        <v>82404633</v>
      </c>
      <c r="I91" s="18">
        <f>208513744+14520127+1469288+7098510</f>
        <v>231601669</v>
      </c>
      <c r="J91" s="18">
        <f>107929356+234428325+824450+5821118</f>
        <v>349003249</v>
      </c>
      <c r="K91" s="19">
        <f t="shared" si="36"/>
        <v>-0.33639108041656085</v>
      </c>
      <c r="L91" s="18">
        <f>847025486+11102149+4700076</f>
        <v>862827711</v>
      </c>
      <c r="M91" s="18">
        <f>309915925+15459897+6062513</f>
        <v>331438335</v>
      </c>
      <c r="N91" s="19">
        <f t="shared" si="37"/>
        <v>1.6032827826026823</v>
      </c>
      <c r="O91" s="22">
        <f t="shared" si="32"/>
        <v>0.26842168609950917</v>
      </c>
      <c r="P91" s="23">
        <f t="shared" si="38"/>
        <v>3546263529</v>
      </c>
    </row>
    <row r="92" spans="1:16" x14ac:dyDescent="0.25">
      <c r="A92" s="16">
        <v>5</v>
      </c>
      <c r="B92" s="17" t="s">
        <v>101</v>
      </c>
      <c r="C92" s="31">
        <v>1465094162</v>
      </c>
      <c r="D92" s="31">
        <v>319810124</v>
      </c>
      <c r="E92" s="19">
        <f t="shared" si="34"/>
        <v>0.21828639571085806</v>
      </c>
      <c r="F92" s="31">
        <v>621714356</v>
      </c>
      <c r="G92" s="19">
        <f t="shared" si="35"/>
        <v>0.4243511250848872</v>
      </c>
      <c r="H92" s="20">
        <v>281370353</v>
      </c>
      <c r="I92" s="18">
        <f>92097795+4994897+2305515+28339371</f>
        <v>127737578</v>
      </c>
      <c r="J92" s="18">
        <f>64383426+5927465+2287927+16006221</f>
        <v>88605039</v>
      </c>
      <c r="K92" s="19">
        <f t="shared" si="36"/>
        <v>0.44165139411540699</v>
      </c>
      <c r="L92" s="18">
        <f>340671200+8255306+1780475</f>
        <v>350706981</v>
      </c>
      <c r="M92" s="18">
        <f>44771602+5950663+2746874</f>
        <v>53469139</v>
      </c>
      <c r="N92" s="19">
        <f t="shared" si="37"/>
        <v>5.5590542050808036</v>
      </c>
      <c r="O92" s="22">
        <f t="shared" si="32"/>
        <v>0.36422878619573301</v>
      </c>
      <c r="P92" s="23">
        <f t="shared" si="38"/>
        <v>1688063565</v>
      </c>
    </row>
    <row r="93" spans="1:16" x14ac:dyDescent="0.25">
      <c r="A93" s="16">
        <v>6</v>
      </c>
      <c r="B93" s="17" t="s">
        <v>102</v>
      </c>
      <c r="C93" s="31">
        <v>2221466520</v>
      </c>
      <c r="D93" s="31">
        <v>595042638</v>
      </c>
      <c r="E93" s="19">
        <f t="shared" si="34"/>
        <v>0.26786027727305112</v>
      </c>
      <c r="F93" s="31">
        <v>1419914817</v>
      </c>
      <c r="G93" s="19">
        <f t="shared" si="35"/>
        <v>0.63917903070625615</v>
      </c>
      <c r="H93" s="20">
        <v>-77102033</v>
      </c>
      <c r="I93" s="21">
        <f>226074205+24025256+858130+5811792</f>
        <v>256769383</v>
      </c>
      <c r="J93" s="18">
        <f>162584402+32849222+816688+2836719</f>
        <v>199087031</v>
      </c>
      <c r="K93" s="19">
        <f t="shared" si="36"/>
        <v>0.28973435240992673</v>
      </c>
      <c r="L93" s="18">
        <f>516151912+4699701+641660</f>
        <v>521493273</v>
      </c>
      <c r="M93" s="18">
        <f>121501084+25928550+100543</f>
        <v>147530177</v>
      </c>
      <c r="N93" s="19">
        <f t="shared" si="37"/>
        <v>2.5348244244294507</v>
      </c>
      <c r="O93" s="22">
        <f t="shared" si="32"/>
        <v>0.49237333690400259</v>
      </c>
      <c r="P93" s="23">
        <f t="shared" si="38"/>
        <v>2486190410</v>
      </c>
    </row>
    <row r="94" spans="1:16" x14ac:dyDescent="0.25">
      <c r="A94" s="16">
        <v>7</v>
      </c>
      <c r="B94" s="17" t="s">
        <v>103</v>
      </c>
      <c r="C94" s="31">
        <v>1723853488</v>
      </c>
      <c r="D94" s="31">
        <v>466668987</v>
      </c>
      <c r="E94" s="19">
        <f t="shared" si="34"/>
        <v>0.2707126738139593</v>
      </c>
      <c r="F94" s="31">
        <v>932592509</v>
      </c>
      <c r="G94" s="19">
        <f t="shared" si="35"/>
        <v>0.54099290658511001</v>
      </c>
      <c r="H94" s="20">
        <v>101962268</v>
      </c>
      <c r="I94" s="18">
        <f>96880726+60781456+1540041+20521910</f>
        <v>179724133</v>
      </c>
      <c r="J94" s="18">
        <f>62562040+61912956+1067004+23237678</f>
        <v>148779678</v>
      </c>
      <c r="K94" s="19">
        <f t="shared" si="36"/>
        <v>0.20798845256272158</v>
      </c>
      <c r="L94" s="18">
        <f>392811156+11677422+7319228</f>
        <v>411807806</v>
      </c>
      <c r="M94" s="18">
        <f>59535963+55196424+7738</f>
        <v>114740125</v>
      </c>
      <c r="N94" s="19">
        <f t="shared" si="37"/>
        <v>2.5890479115305132</v>
      </c>
      <c r="O94" s="22">
        <f t="shared" si="32"/>
        <v>0.43642721284404212</v>
      </c>
      <c r="P94" s="23">
        <f t="shared" si="38"/>
        <v>1955937161</v>
      </c>
    </row>
    <row r="95" spans="1:16" x14ac:dyDescent="0.25">
      <c r="A95" s="16">
        <v>8</v>
      </c>
      <c r="B95" s="17" t="s">
        <v>104</v>
      </c>
      <c r="C95" s="31">
        <v>2036649269</v>
      </c>
      <c r="D95" s="31">
        <v>603616703</v>
      </c>
      <c r="E95" s="19">
        <f t="shared" si="34"/>
        <v>0.29637734497917617</v>
      </c>
      <c r="F95" s="31">
        <v>1083456194</v>
      </c>
      <c r="G95" s="19">
        <f t="shared" si="35"/>
        <v>0.53197976229455535</v>
      </c>
      <c r="H95" s="20">
        <v>30647837</v>
      </c>
      <c r="I95" s="18">
        <f>222314123+50504036+516187+21482355</f>
        <v>294816701</v>
      </c>
      <c r="J95" s="18">
        <f>145279395+62632049+490197+12196760</f>
        <v>220598401</v>
      </c>
      <c r="K95" s="19">
        <f t="shared" si="36"/>
        <v>0.33644078861659565</v>
      </c>
      <c r="L95" s="18">
        <f>575691410+17125403+1358883</f>
        <v>594175696</v>
      </c>
      <c r="M95" s="18">
        <f>145262983+7714171+497801</f>
        <v>153474955</v>
      </c>
      <c r="N95" s="19">
        <f t="shared" si="37"/>
        <v>2.8714831094102617</v>
      </c>
      <c r="O95" s="22">
        <f t="shared" si="32"/>
        <v>0.49617765079371406</v>
      </c>
      <c r="P95" s="23">
        <f t="shared" si="38"/>
        <v>2336008264</v>
      </c>
    </row>
    <row r="96" spans="1:16" x14ac:dyDescent="0.25">
      <c r="A96" s="16">
        <v>9</v>
      </c>
      <c r="B96" s="17" t="s">
        <v>105</v>
      </c>
      <c r="C96" s="31">
        <v>2405108606</v>
      </c>
      <c r="D96" s="31">
        <v>563057617</v>
      </c>
      <c r="E96" s="19">
        <f t="shared" si="34"/>
        <v>0.23410901927478281</v>
      </c>
      <c r="F96" s="31">
        <v>1448853401</v>
      </c>
      <c r="G96" s="19">
        <f t="shared" si="35"/>
        <v>0.60240664283748357</v>
      </c>
      <c r="H96" s="20">
        <v>61629241</v>
      </c>
      <c r="I96" s="18">
        <f>221152939+9549561+163158+3506731</f>
        <v>234372389</v>
      </c>
      <c r="J96" s="18">
        <f>108089858+40347797+1695492+4510994</f>
        <v>154644141</v>
      </c>
      <c r="K96" s="19">
        <f t="shared" si="36"/>
        <v>0.51555944819144495</v>
      </c>
      <c r="L96" s="18">
        <f>629334678+1365943+7521408</f>
        <v>638222029</v>
      </c>
      <c r="M96" s="18">
        <f>178378544+25527165+49666</f>
        <v>203955375</v>
      </c>
      <c r="N96" s="19">
        <f t="shared" si="37"/>
        <v>2.1292238755659172</v>
      </c>
      <c r="O96" s="22">
        <f t="shared" si="32"/>
        <v>0.36722704380359145</v>
      </c>
      <c r="P96" s="23">
        <f t="shared" si="38"/>
        <v>2808958246</v>
      </c>
    </row>
    <row r="97" spans="1:16" x14ac:dyDescent="0.25">
      <c r="A97" s="16">
        <v>10</v>
      </c>
      <c r="B97" s="17" t="s">
        <v>106</v>
      </c>
      <c r="C97" s="31">
        <v>1640968589</v>
      </c>
      <c r="D97" s="31">
        <v>521326470</v>
      </c>
      <c r="E97" s="19">
        <f t="shared" si="34"/>
        <v>0.31769436264328155</v>
      </c>
      <c r="F97" s="31">
        <v>977555469</v>
      </c>
      <c r="G97" s="19">
        <f t="shared" si="35"/>
        <v>0.59571857472038425</v>
      </c>
      <c r="H97" s="20">
        <v>-74973143</v>
      </c>
      <c r="I97" s="18">
        <f>170683014+30898555+944416+7030010</f>
        <v>209555995</v>
      </c>
      <c r="J97" s="18">
        <f>82510314+61434945+480633+1070789</f>
        <v>145496681</v>
      </c>
      <c r="K97" s="19">
        <f t="shared" si="36"/>
        <v>0.44028024254381437</v>
      </c>
      <c r="L97" s="18">
        <f>411711443+6332941+1539686</f>
        <v>419584070</v>
      </c>
      <c r="M97" s="18">
        <f>144966225+25434591+35000</f>
        <v>170435816</v>
      </c>
      <c r="N97" s="19">
        <f t="shared" si="37"/>
        <v>1.461830381942725</v>
      </c>
      <c r="O97" s="22">
        <f t="shared" si="32"/>
        <v>0.49943744289434056</v>
      </c>
      <c r="P97" s="23">
        <f t="shared" si="38"/>
        <v>1850996664</v>
      </c>
    </row>
    <row r="98" spans="1:16" x14ac:dyDescent="0.25">
      <c r="A98" s="16">
        <v>11</v>
      </c>
      <c r="B98" s="17" t="s">
        <v>107</v>
      </c>
      <c r="C98" s="31">
        <v>2020899065</v>
      </c>
      <c r="D98" s="31">
        <v>615998552</v>
      </c>
      <c r="E98" s="19">
        <f t="shared" si="34"/>
        <v>0.30481411104022654</v>
      </c>
      <c r="F98" s="31">
        <v>1272794134</v>
      </c>
      <c r="G98" s="19">
        <f t="shared" si="35"/>
        <v>0.62981578647026593</v>
      </c>
      <c r="H98" s="20">
        <v>-125297241</v>
      </c>
      <c r="I98" s="18">
        <f>283018190+6656905+596359+4968610</f>
        <v>295240064</v>
      </c>
      <c r="J98" s="18">
        <f>228015741+69551697+607787+3345251</f>
        <v>301520476</v>
      </c>
      <c r="K98" s="19">
        <f t="shared" si="36"/>
        <v>-2.0829139311918543E-2</v>
      </c>
      <c r="L98" s="18">
        <f>475981411+6005023+3198588</f>
        <v>485185022</v>
      </c>
      <c r="M98" s="18">
        <f>144020949+42627892</f>
        <v>186648841</v>
      </c>
      <c r="N98" s="19">
        <f t="shared" si="37"/>
        <v>1.5994537089035554</v>
      </c>
      <c r="O98" s="22">
        <f t="shared" si="32"/>
        <v>0.60851026023635169</v>
      </c>
      <c r="P98" s="23">
        <f t="shared" si="38"/>
        <v>2210844023</v>
      </c>
    </row>
    <row r="99" spans="1:16" x14ac:dyDescent="0.25">
      <c r="A99" s="16">
        <v>12</v>
      </c>
      <c r="B99" s="17" t="s">
        <v>108</v>
      </c>
      <c r="C99" s="31">
        <v>2553790024</v>
      </c>
      <c r="D99" s="31">
        <v>699937253</v>
      </c>
      <c r="E99" s="19">
        <f t="shared" si="34"/>
        <v>0.27407783976839595</v>
      </c>
      <c r="F99" s="31">
        <v>1643747096</v>
      </c>
      <c r="G99" s="19">
        <f t="shared" si="35"/>
        <v>0.64365005758202465</v>
      </c>
      <c r="H99" s="20">
        <v>-97023767</v>
      </c>
      <c r="I99" s="18">
        <f>296250521+62580516+906364+1958988</f>
        <v>361696389</v>
      </c>
      <c r="J99" s="18">
        <f>187488769+151365453+665583+2766795</f>
        <v>342286600</v>
      </c>
      <c r="K99" s="19">
        <f t="shared" si="36"/>
        <v>5.6706248506368739E-2</v>
      </c>
      <c r="L99" s="18">
        <f>721345788+779571+250</f>
        <v>722125609</v>
      </c>
      <c r="M99" s="18">
        <f>224020584+84250458+996</f>
        <v>308272038</v>
      </c>
      <c r="N99" s="19">
        <f t="shared" si="37"/>
        <v>1.3424946799748345</v>
      </c>
      <c r="O99" s="22">
        <f t="shared" si="32"/>
        <v>0.50087738821626526</v>
      </c>
      <c r="P99" s="23">
        <f t="shared" si="38"/>
        <v>2914219244</v>
      </c>
    </row>
    <row r="100" spans="1:16" x14ac:dyDescent="0.25">
      <c r="A100" s="16">
        <v>13</v>
      </c>
      <c r="B100" s="17" t="s">
        <v>109</v>
      </c>
      <c r="C100" s="31">
        <v>2733357484</v>
      </c>
      <c r="D100" s="31">
        <v>858494226</v>
      </c>
      <c r="E100" s="19">
        <f t="shared" si="34"/>
        <v>0.31408047832209568</v>
      </c>
      <c r="F100" s="31">
        <v>1657789274</v>
      </c>
      <c r="G100" s="19">
        <f t="shared" si="35"/>
        <v>0.60650291215256202</v>
      </c>
      <c r="H100" s="20">
        <v>-140825141</v>
      </c>
      <c r="I100" s="18">
        <f>286558837+1488615+304638+28271729</f>
        <v>316623819</v>
      </c>
      <c r="J100" s="18">
        <f>102084005+58799858+209132+3499224</f>
        <v>164592219</v>
      </c>
      <c r="K100" s="19">
        <f t="shared" si="36"/>
        <v>0.92368643501914272</v>
      </c>
      <c r="L100" s="18">
        <f>665442758+11803332+7307667</f>
        <v>684553757</v>
      </c>
      <c r="M100" s="18">
        <f>222169387+2837161+2077733</f>
        <v>227084281</v>
      </c>
      <c r="N100" s="19">
        <f t="shared" si="37"/>
        <v>2.0145360743837659</v>
      </c>
      <c r="O100" s="22">
        <f t="shared" si="32"/>
        <v>0.46252586559100572</v>
      </c>
      <c r="P100" s="23">
        <f t="shared" si="38"/>
        <v>3101287422</v>
      </c>
    </row>
    <row r="101" spans="1:16" x14ac:dyDescent="0.25">
      <c r="A101" s="16">
        <v>14</v>
      </c>
      <c r="B101" s="17" t="s">
        <v>110</v>
      </c>
      <c r="C101" s="31">
        <v>1567111143</v>
      </c>
      <c r="D101" s="31">
        <v>528477633</v>
      </c>
      <c r="E101" s="19">
        <f t="shared" si="34"/>
        <v>0.33723047363973724</v>
      </c>
      <c r="F101" s="31">
        <v>869138328</v>
      </c>
      <c r="G101" s="19">
        <f t="shared" si="35"/>
        <v>0.5546117975628484</v>
      </c>
      <c r="H101" s="20">
        <v>-8838401</v>
      </c>
      <c r="I101" s="18">
        <f>140239861+12195276+868854+11568695</f>
        <v>164872686</v>
      </c>
      <c r="J101" s="18">
        <f>102568185+36760279+809089+27808854</f>
        <v>167946407</v>
      </c>
      <c r="K101" s="19">
        <f t="shared" si="36"/>
        <v>-1.8301796715424867E-2</v>
      </c>
      <c r="L101" s="18">
        <f>502442039+16892966+3515204</f>
        <v>522850209</v>
      </c>
      <c r="M101" s="18">
        <f>131061943+73580786+3505198</f>
        <v>208147927</v>
      </c>
      <c r="N101" s="19">
        <f t="shared" si="37"/>
        <v>1.5119164842799515</v>
      </c>
      <c r="O101" s="22">
        <f t="shared" si="32"/>
        <v>0.31533445557062023</v>
      </c>
      <c r="P101" s="23">
        <f t="shared" si="38"/>
        <v>1925088666</v>
      </c>
    </row>
    <row r="102" spans="1:16" x14ac:dyDescent="0.25">
      <c r="A102" s="16">
        <v>15</v>
      </c>
      <c r="B102" s="17" t="s">
        <v>111</v>
      </c>
      <c r="C102" s="31">
        <v>1913099327</v>
      </c>
      <c r="D102" s="31">
        <v>539912124</v>
      </c>
      <c r="E102" s="19">
        <f t="shared" si="34"/>
        <v>0.28221855309868082</v>
      </c>
      <c r="F102" s="31">
        <v>1165680159</v>
      </c>
      <c r="G102" s="19">
        <f t="shared" si="35"/>
        <v>0.60931502225132506</v>
      </c>
      <c r="H102" s="20">
        <v>-66155781</v>
      </c>
      <c r="I102" s="18">
        <f>209892171+2821951+546039+2266643</f>
        <v>215526804</v>
      </c>
      <c r="J102" s="18">
        <f>129121679+49986986+3929787+2453686</f>
        <v>185492138</v>
      </c>
      <c r="K102" s="19">
        <f t="shared" si="36"/>
        <v>0.16191880865592267</v>
      </c>
      <c r="L102" s="18">
        <f>579043131+7273035+11392659</f>
        <v>597708825</v>
      </c>
      <c r="M102" s="18">
        <f>168624872+701634+1211076</f>
        <v>170537582</v>
      </c>
      <c r="N102" s="19">
        <f t="shared" si="37"/>
        <v>2.5048510597505715</v>
      </c>
      <c r="O102" s="22">
        <f t="shared" si="32"/>
        <v>0.36058829146449362</v>
      </c>
      <c r="P102" s="23">
        <f t="shared" si="38"/>
        <v>2295281348</v>
      </c>
    </row>
    <row r="103" spans="1:16" x14ac:dyDescent="0.25">
      <c r="A103" s="16">
        <v>16</v>
      </c>
      <c r="B103" s="17" t="s">
        <v>112</v>
      </c>
      <c r="C103" s="31">
        <v>2704839477</v>
      </c>
      <c r="D103" s="31">
        <v>682182916</v>
      </c>
      <c r="E103" s="19">
        <f t="shared" si="34"/>
        <v>0.25220828141588086</v>
      </c>
      <c r="F103" s="31">
        <v>1800343443</v>
      </c>
      <c r="G103" s="19">
        <f t="shared" si="35"/>
        <v>0.66560084556174937</v>
      </c>
      <c r="H103" s="20">
        <v>-89373818</v>
      </c>
      <c r="I103" s="18">
        <f>324334969+32976622+134006+41382771</f>
        <v>398828368</v>
      </c>
      <c r="J103" s="18">
        <f>179717316+117202375+230890+3531661</f>
        <v>300682242</v>
      </c>
      <c r="K103" s="19">
        <f t="shared" si="36"/>
        <v>0.32641144800297184</v>
      </c>
      <c r="L103" s="18">
        <f>682190150+30714775+5939503</f>
        <v>718844428</v>
      </c>
      <c r="M103" s="18">
        <f>312003053+663104+173566</f>
        <v>312839723</v>
      </c>
      <c r="N103" s="19">
        <f t="shared" si="37"/>
        <v>1.2978041954090336</v>
      </c>
      <c r="O103" s="22">
        <f t="shared" si="32"/>
        <v>0.55481875140861492</v>
      </c>
      <c r="P103" s="23">
        <f t="shared" si="38"/>
        <v>3024855537</v>
      </c>
    </row>
    <row r="104" spans="1:16" x14ac:dyDescent="0.25">
      <c r="A104" s="4"/>
      <c r="B104" s="25" t="s">
        <v>113</v>
      </c>
      <c r="C104" s="26">
        <f t="shared" ref="C104:O104" si="39">AVERAGE(C88:C103)</f>
        <v>2149111948.9375</v>
      </c>
      <c r="D104" s="26">
        <f t="shared" si="39"/>
        <v>593483132.8125</v>
      </c>
      <c r="E104" s="27">
        <f t="shared" si="39"/>
        <v>0.27725396940927305</v>
      </c>
      <c r="F104" s="26">
        <f t="shared" si="39"/>
        <v>1286956960.375</v>
      </c>
      <c r="G104" s="27">
        <f t="shared" si="39"/>
        <v>0.59350302898729013</v>
      </c>
      <c r="H104" s="28">
        <f t="shared" si="39"/>
        <v>-35625127.875</v>
      </c>
      <c r="I104" s="26">
        <f t="shared" si="39"/>
        <v>278995305.6875</v>
      </c>
      <c r="J104" s="26">
        <f t="shared" si="39"/>
        <v>235403201.0625</v>
      </c>
      <c r="K104" s="27">
        <f t="shared" si="39"/>
        <v>0.24165071035597488</v>
      </c>
      <c r="L104" s="26">
        <f t="shared" si="39"/>
        <v>584116692.25</v>
      </c>
      <c r="M104" s="26">
        <f t="shared" si="39"/>
        <v>210010062.4375</v>
      </c>
      <c r="N104" s="27">
        <f t="shared" si="39"/>
        <v>2.0754901154487388</v>
      </c>
      <c r="O104" s="29">
        <f t="shared" si="39"/>
        <v>0.47912297656104597</v>
      </c>
      <c r="P104" s="30">
        <f>AVERAGE(P88:P103)</f>
        <v>2454233335.5</v>
      </c>
    </row>
    <row r="105" spans="1:16" x14ac:dyDescent="0.25">
      <c r="A105" s="10">
        <v>7</v>
      </c>
      <c r="B105" s="11" t="s">
        <v>114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  <c r="P105" s="15"/>
    </row>
    <row r="106" spans="1:16" x14ac:dyDescent="0.25">
      <c r="A106" s="16">
        <v>1</v>
      </c>
      <c r="B106" s="17" t="s">
        <v>115</v>
      </c>
      <c r="C106" s="31">
        <v>2426449954</v>
      </c>
      <c r="D106" s="31">
        <v>547436072</v>
      </c>
      <c r="E106" s="19">
        <f t="shared" ref="E106:E117" si="40">D106/C106</f>
        <v>0.2256119361116648</v>
      </c>
      <c r="F106" s="31">
        <v>1419666765</v>
      </c>
      <c r="G106" s="19">
        <f t="shared" ref="G106:G117" si="41">F106/C106</f>
        <v>0.58507976340483803</v>
      </c>
      <c r="H106" s="20">
        <v>63610001</v>
      </c>
      <c r="I106" s="20">
        <f>115730006+20064929+329044+22519388</f>
        <v>158643367</v>
      </c>
      <c r="J106" s="20">
        <f>49152436+54092587+836789+2928060</f>
        <v>107009872</v>
      </c>
      <c r="K106" s="19">
        <f>I106/J106-1</f>
        <v>0.48251151071370302</v>
      </c>
      <c r="L106" s="18">
        <f>584493808+24736338+6032247</f>
        <v>615262393</v>
      </c>
      <c r="M106" s="18">
        <f>564923224+40835735+9894511</f>
        <v>615653470</v>
      </c>
      <c r="N106" s="19">
        <f>L106/M106-1</f>
        <v>-6.3522260339088366E-4</v>
      </c>
      <c r="O106" s="22">
        <f t="shared" si="32"/>
        <v>0.25784668265918215</v>
      </c>
      <c r="P106" s="23">
        <f>C106-(I106-L106)</f>
        <v>2883068980</v>
      </c>
    </row>
    <row r="107" spans="1:16" x14ac:dyDescent="0.25">
      <c r="A107" s="16">
        <v>2</v>
      </c>
      <c r="B107" s="17" t="s">
        <v>116</v>
      </c>
      <c r="C107" s="31">
        <v>698914328</v>
      </c>
      <c r="D107" s="31">
        <v>295739641</v>
      </c>
      <c r="E107" s="19">
        <f t="shared" si="40"/>
        <v>0.42314147693363641</v>
      </c>
      <c r="F107" s="31">
        <v>385078059</v>
      </c>
      <c r="G107" s="19">
        <f t="shared" si="41"/>
        <v>0.55096603914521547</v>
      </c>
      <c r="H107" s="20">
        <v>-125016243</v>
      </c>
      <c r="I107" s="20">
        <f>61204709+1101002+1481013+3189207</f>
        <v>66975931</v>
      </c>
      <c r="J107" s="20">
        <f>57582338+158375+1108759+6591</f>
        <v>58856063</v>
      </c>
      <c r="K107" s="19">
        <f t="shared" ref="K107:K117" si="42">I107/J107-1</f>
        <v>0.13796145352093969</v>
      </c>
      <c r="L107" s="18">
        <f>351340332+2776433+9991653</f>
        <v>364108418</v>
      </c>
      <c r="M107" s="18">
        <f>62757465+5176174+2391653</f>
        <v>70325292</v>
      </c>
      <c r="N107" s="19">
        <f t="shared" ref="N107:N117" si="43">L107/M107-1</f>
        <v>4.1774888897724018</v>
      </c>
      <c r="O107" s="22">
        <f t="shared" si="32"/>
        <v>0.18394502211151845</v>
      </c>
      <c r="P107" s="23">
        <f t="shared" ref="P107:P117" si="44">C107-(I107-L107)</f>
        <v>996046815</v>
      </c>
    </row>
    <row r="108" spans="1:16" x14ac:dyDescent="0.25">
      <c r="A108" s="16">
        <v>3</v>
      </c>
      <c r="B108" s="17" t="s">
        <v>117</v>
      </c>
      <c r="C108" s="31">
        <v>4941702468</v>
      </c>
      <c r="D108" s="31">
        <v>1357573625</v>
      </c>
      <c r="E108" s="19">
        <f t="shared" si="40"/>
        <v>0.27471779893487508</v>
      </c>
      <c r="F108" s="31">
        <v>2915121815</v>
      </c>
      <c r="G108" s="19">
        <f t="shared" si="41"/>
        <v>0.58990233302730677</v>
      </c>
      <c r="H108" s="20">
        <v>-542882</v>
      </c>
      <c r="I108" s="20">
        <f>535870431+71785209+502313+5020288</f>
        <v>613178241</v>
      </c>
      <c r="J108" s="20">
        <f>307512919+173450692+5787319+5383976</f>
        <v>492134906</v>
      </c>
      <c r="K108" s="19">
        <f t="shared" si="42"/>
        <v>0.2459555977929353</v>
      </c>
      <c r="L108" s="18">
        <f>1550336902+9879312+1750797</f>
        <v>1561967011</v>
      </c>
      <c r="M108" s="18">
        <f>1516962325+39154811+4391139</f>
        <v>1560508275</v>
      </c>
      <c r="N108" s="19">
        <f t="shared" si="43"/>
        <v>9.3478261113344452E-4</v>
      </c>
      <c r="O108" s="22">
        <f t="shared" si="32"/>
        <v>0.39256798426711459</v>
      </c>
      <c r="P108" s="23">
        <f t="shared" si="44"/>
        <v>5890491238</v>
      </c>
    </row>
    <row r="109" spans="1:16" x14ac:dyDescent="0.25">
      <c r="A109" s="16">
        <v>4</v>
      </c>
      <c r="B109" s="17" t="s">
        <v>118</v>
      </c>
      <c r="C109" s="31">
        <v>1697311384</v>
      </c>
      <c r="D109" s="31">
        <v>513293201</v>
      </c>
      <c r="E109" s="19">
        <f t="shared" si="40"/>
        <v>0.30241545884782683</v>
      </c>
      <c r="F109" s="31">
        <v>938063934</v>
      </c>
      <c r="G109" s="19">
        <f t="shared" si="41"/>
        <v>0.55267639329048412</v>
      </c>
      <c r="H109" s="20">
        <v>-22150710</v>
      </c>
      <c r="I109" s="20">
        <f>31589330+20311969+1266670+46289853</f>
        <v>99457822</v>
      </c>
      <c r="J109" s="20">
        <f>37409279+20438557+1806731+25457224</f>
        <v>85111791</v>
      </c>
      <c r="K109" s="19">
        <f t="shared" si="42"/>
        <v>0.16855515353918471</v>
      </c>
      <c r="L109" s="18">
        <f>455960364+33868938+652489</f>
        <v>490481791</v>
      </c>
      <c r="M109" s="18">
        <f>440506510+54039856+2175042</f>
        <v>496721408</v>
      </c>
      <c r="N109" s="19">
        <f t="shared" si="43"/>
        <v>-1.2561602740504441E-2</v>
      </c>
      <c r="O109" s="22">
        <f t="shared" si="32"/>
        <v>0.2027757682853511</v>
      </c>
      <c r="P109" s="23">
        <f t="shared" si="44"/>
        <v>2088335353</v>
      </c>
    </row>
    <row r="110" spans="1:16" x14ac:dyDescent="0.25">
      <c r="A110" s="16">
        <v>5</v>
      </c>
      <c r="B110" s="17" t="s">
        <v>119</v>
      </c>
      <c r="C110" s="31">
        <v>2631706565</v>
      </c>
      <c r="D110" s="31">
        <v>730926823</v>
      </c>
      <c r="E110" s="19">
        <f t="shared" si="40"/>
        <v>0.27773872388390686</v>
      </c>
      <c r="F110" s="31">
        <v>1653957443</v>
      </c>
      <c r="G110" s="19">
        <f t="shared" si="41"/>
        <v>0.62847335071339916</v>
      </c>
      <c r="H110" s="20">
        <v>-27662126</v>
      </c>
      <c r="I110" s="20">
        <f>195692774+15048020+1108968+26816415</f>
        <v>238666177</v>
      </c>
      <c r="J110" s="20">
        <f>106585051+43314073+1478350+7956454</f>
        <v>159333928</v>
      </c>
      <c r="K110" s="19">
        <f t="shared" si="42"/>
        <v>0.49789928608299916</v>
      </c>
      <c r="L110" s="18">
        <f>650548869+15263063+11606636</f>
        <v>677418568</v>
      </c>
      <c r="M110" s="18">
        <f>652837111+89540556+9376897</f>
        <v>751754564</v>
      </c>
      <c r="N110" s="19">
        <f t="shared" si="43"/>
        <v>-9.8883331821049025E-2</v>
      </c>
      <c r="O110" s="22">
        <f t="shared" si="32"/>
        <v>0.35231714670094488</v>
      </c>
      <c r="P110" s="23">
        <f t="shared" si="44"/>
        <v>3070458956</v>
      </c>
    </row>
    <row r="111" spans="1:16" x14ac:dyDescent="0.25">
      <c r="A111" s="16">
        <v>6</v>
      </c>
      <c r="B111" s="17" t="s">
        <v>120</v>
      </c>
      <c r="C111" s="31">
        <v>2922186115</v>
      </c>
      <c r="D111" s="31">
        <v>580111508</v>
      </c>
      <c r="E111" s="19">
        <f t="shared" si="40"/>
        <v>0.19851969900965735</v>
      </c>
      <c r="F111" s="31">
        <v>1628284959</v>
      </c>
      <c r="G111" s="19">
        <f t="shared" si="41"/>
        <v>0.55721466563740751</v>
      </c>
      <c r="H111" s="20">
        <v>280517333</v>
      </c>
      <c r="I111" s="20">
        <f>261488961+75909269+3655291+1094819</f>
        <v>342148340</v>
      </c>
      <c r="J111" s="20">
        <f>174873576+61954905+3251796+112289</f>
        <v>240192566</v>
      </c>
      <c r="K111" s="19">
        <f t="shared" si="42"/>
        <v>0.42447514383105434</v>
      </c>
      <c r="L111" s="18">
        <f>816447143+10063151+10068990</f>
        <v>836579284</v>
      </c>
      <c r="M111" s="18">
        <f>762299892+50073436+21589652</f>
        <v>833962980</v>
      </c>
      <c r="N111" s="19">
        <f t="shared" si="43"/>
        <v>3.1371944111955319E-3</v>
      </c>
      <c r="O111" s="22">
        <f t="shared" si="32"/>
        <v>0.40898495401901441</v>
      </c>
      <c r="P111" s="23">
        <f t="shared" si="44"/>
        <v>3416617059</v>
      </c>
    </row>
    <row r="112" spans="1:16" x14ac:dyDescent="0.25">
      <c r="A112" s="16">
        <v>7</v>
      </c>
      <c r="B112" s="17" t="s">
        <v>121</v>
      </c>
      <c r="C112" s="31">
        <v>1699992013</v>
      </c>
      <c r="D112" s="31">
        <v>423997648</v>
      </c>
      <c r="E112" s="19">
        <f t="shared" si="40"/>
        <v>0.24941155297063153</v>
      </c>
      <c r="F112" s="31">
        <v>830837023</v>
      </c>
      <c r="G112" s="19">
        <f t="shared" si="41"/>
        <v>0.48872995675656744</v>
      </c>
      <c r="H112" s="20">
        <v>-72219309</v>
      </c>
      <c r="I112" s="20">
        <f>104121826+30470281+565825+2577654</f>
        <v>137735586</v>
      </c>
      <c r="J112" s="20">
        <f>41037893+54377550+845185+101930</f>
        <v>96362558</v>
      </c>
      <c r="K112" s="19">
        <f t="shared" si="42"/>
        <v>0.42934754803831598</v>
      </c>
      <c r="L112" s="18">
        <f>369820463+11603927+610223</f>
        <v>382034613</v>
      </c>
      <c r="M112" s="18">
        <f>313853690+18301060+4409627</f>
        <v>336564377</v>
      </c>
      <c r="N112" s="19">
        <f t="shared" si="43"/>
        <v>0.13510115480819285</v>
      </c>
      <c r="O112" s="22">
        <f t="shared" si="32"/>
        <v>0.36053169349867259</v>
      </c>
      <c r="P112" s="23">
        <f t="shared" si="44"/>
        <v>1944291040</v>
      </c>
    </row>
    <row r="113" spans="1:16" x14ac:dyDescent="0.25">
      <c r="A113" s="16">
        <v>8</v>
      </c>
      <c r="B113" s="17" t="s">
        <v>122</v>
      </c>
      <c r="C113" s="31">
        <v>1838742891</v>
      </c>
      <c r="D113" s="31">
        <v>577399589</v>
      </c>
      <c r="E113" s="19">
        <f t="shared" si="40"/>
        <v>0.31401866559276342</v>
      </c>
      <c r="F113" s="31">
        <v>1034254900</v>
      </c>
      <c r="G113" s="19">
        <f t="shared" si="41"/>
        <v>0.56247934665706345</v>
      </c>
      <c r="H113" s="20">
        <v>-49366873</v>
      </c>
      <c r="I113" s="20">
        <f>35727981+106655127+1733640+15538709</f>
        <v>159655457</v>
      </c>
      <c r="J113" s="20">
        <f>45148007+230466655+1327077+314106</f>
        <v>277255845</v>
      </c>
      <c r="K113" s="19">
        <f t="shared" si="42"/>
        <v>-0.42415837256740252</v>
      </c>
      <c r="L113" s="18">
        <f>493195260+118762171+7412535</f>
        <v>619369966</v>
      </c>
      <c r="M113" s="18">
        <f>530006566+169120964+10476864</f>
        <v>709604394</v>
      </c>
      <c r="N113" s="19">
        <f t="shared" si="43"/>
        <v>-0.12716159702923147</v>
      </c>
      <c r="O113" s="22">
        <f t="shared" si="32"/>
        <v>0.2577707440854502</v>
      </c>
      <c r="P113" s="23">
        <f t="shared" si="44"/>
        <v>2298457400</v>
      </c>
    </row>
    <row r="114" spans="1:16" x14ac:dyDescent="0.25">
      <c r="A114" s="16">
        <v>9</v>
      </c>
      <c r="B114" s="17" t="s">
        <v>123</v>
      </c>
      <c r="C114" s="31">
        <v>1796843022</v>
      </c>
      <c r="D114" s="31">
        <v>476667416</v>
      </c>
      <c r="E114" s="19">
        <f t="shared" si="40"/>
        <v>0.26528050039086831</v>
      </c>
      <c r="F114" s="31">
        <v>1199872624</v>
      </c>
      <c r="G114" s="19">
        <f t="shared" si="41"/>
        <v>0.66776708332844004</v>
      </c>
      <c r="H114" s="20">
        <v>-221870205</v>
      </c>
      <c r="I114" s="20">
        <f>163682515+60736133+422820+35084444</f>
        <v>259925912</v>
      </c>
      <c r="J114" s="20">
        <f>63931051+102320556+1118834+22275780</f>
        <v>189646221</v>
      </c>
      <c r="K114" s="19">
        <f t="shared" si="42"/>
        <v>0.37058313437207913</v>
      </c>
      <c r="L114" s="18">
        <f>489250509+3992659</f>
        <v>493243168</v>
      </c>
      <c r="M114" s="18">
        <f>428628603+3043607+6437735</f>
        <v>438109945</v>
      </c>
      <c r="N114" s="19">
        <f t="shared" si="43"/>
        <v>0.12584334966420352</v>
      </c>
      <c r="O114" s="22">
        <f t="shared" si="32"/>
        <v>0.52697316225168678</v>
      </c>
      <c r="P114" s="23">
        <f t="shared" si="44"/>
        <v>2030160278</v>
      </c>
    </row>
    <row r="115" spans="1:16" x14ac:dyDescent="0.25">
      <c r="A115" s="16">
        <v>10</v>
      </c>
      <c r="B115" s="17" t="s">
        <v>124</v>
      </c>
      <c r="C115" s="31">
        <v>2215969495</v>
      </c>
      <c r="D115" s="31">
        <v>497093160</v>
      </c>
      <c r="E115" s="19">
        <f t="shared" si="40"/>
        <v>0.22432310603625885</v>
      </c>
      <c r="F115" s="31">
        <v>1419094427</v>
      </c>
      <c r="G115" s="19">
        <f t="shared" si="41"/>
        <v>0.64039438728826004</v>
      </c>
      <c r="H115" s="20">
        <v>70818048</v>
      </c>
      <c r="I115" s="20">
        <f>157080812+22936656+237311+5135528</f>
        <v>185390307</v>
      </c>
      <c r="J115" s="20">
        <f>37341053+69377412+627831+168420</f>
        <v>107514716</v>
      </c>
      <c r="K115" s="19">
        <f t="shared" si="42"/>
        <v>0.72432494729372676</v>
      </c>
      <c r="L115" s="18">
        <f>618685095+6480948+9876507</f>
        <v>635042550</v>
      </c>
      <c r="M115" s="18">
        <f>609225103+15731731+4928068</f>
        <v>629884902</v>
      </c>
      <c r="N115" s="19">
        <f t="shared" si="43"/>
        <v>8.1882388093816871E-3</v>
      </c>
      <c r="O115" s="22">
        <f t="shared" si="32"/>
        <v>0.29193367751499488</v>
      </c>
      <c r="P115" s="23">
        <f t="shared" si="44"/>
        <v>2665621738</v>
      </c>
    </row>
    <row r="116" spans="1:16" x14ac:dyDescent="0.25">
      <c r="A116" s="16">
        <v>11</v>
      </c>
      <c r="B116" s="17" t="s">
        <v>125</v>
      </c>
      <c r="C116" s="31">
        <v>2204393032</v>
      </c>
      <c r="D116" s="31">
        <v>635548914</v>
      </c>
      <c r="E116" s="19">
        <f t="shared" si="40"/>
        <v>0.28831016283125321</v>
      </c>
      <c r="F116" s="31">
        <v>1513637384</v>
      </c>
      <c r="G116" s="19">
        <f t="shared" si="41"/>
        <v>0.68664587577048741</v>
      </c>
      <c r="H116" s="20">
        <v>-319850887</v>
      </c>
      <c r="I116" s="20">
        <f>138012945+30357561+763721+3857097</f>
        <v>172991324</v>
      </c>
      <c r="J116" s="20">
        <f>60845927+30357561+746366+67540</f>
        <v>92017394</v>
      </c>
      <c r="K116" s="19">
        <f t="shared" si="42"/>
        <v>0.87998503848087672</v>
      </c>
      <c r="L116" s="18">
        <f>562071847+5756953+17185054</f>
        <v>585013854</v>
      </c>
      <c r="M116" s="18">
        <f>532074428+47569821+11267839</f>
        <v>590912088</v>
      </c>
      <c r="N116" s="19">
        <f t="shared" si="43"/>
        <v>-9.9815761426765848E-3</v>
      </c>
      <c r="O116" s="22">
        <f t="shared" si="32"/>
        <v>0.29570466206429363</v>
      </c>
      <c r="P116" s="23">
        <f t="shared" si="44"/>
        <v>2616415562</v>
      </c>
    </row>
    <row r="117" spans="1:16" x14ac:dyDescent="0.25">
      <c r="A117" s="16">
        <v>12</v>
      </c>
      <c r="B117" s="17" t="s">
        <v>126</v>
      </c>
      <c r="C117" s="31">
        <v>3805783676</v>
      </c>
      <c r="D117" s="31">
        <v>990467032</v>
      </c>
      <c r="E117" s="19">
        <f t="shared" si="40"/>
        <v>0.2602531085111523</v>
      </c>
      <c r="F117" s="31">
        <v>2146300741</v>
      </c>
      <c r="G117" s="19">
        <f t="shared" si="41"/>
        <v>0.56395762968215535</v>
      </c>
      <c r="H117" s="20">
        <v>112029330</v>
      </c>
      <c r="I117" s="20">
        <f>181842347+34883127+916848+11960112</f>
        <v>229602434</v>
      </c>
      <c r="J117" s="20">
        <f>239280670+89350554+5726928+36221075</f>
        <v>370579227</v>
      </c>
      <c r="K117" s="19">
        <f t="shared" si="42"/>
        <v>-0.38042281576673487</v>
      </c>
      <c r="L117" s="18">
        <f>775881622+6839801+23014982</f>
        <v>805736405</v>
      </c>
      <c r="M117" s="18">
        <f>835087319+199951830+10255594</f>
        <v>1045294743</v>
      </c>
      <c r="N117" s="19">
        <f t="shared" si="43"/>
        <v>-0.22917778894827945</v>
      </c>
      <c r="O117" s="22">
        <f t="shared" si="32"/>
        <v>0.28495973692537824</v>
      </c>
      <c r="P117" s="23">
        <f t="shared" si="44"/>
        <v>4381917647</v>
      </c>
    </row>
    <row r="118" spans="1:16" x14ac:dyDescent="0.25">
      <c r="A118" s="4"/>
      <c r="B118" s="25" t="s">
        <v>127</v>
      </c>
      <c r="C118" s="26">
        <f t="shared" ref="C118:O118" si="45">AVERAGE(C106:C117)</f>
        <v>2406666245.25</v>
      </c>
      <c r="D118" s="26">
        <f t="shared" si="45"/>
        <v>635521219.08333337</v>
      </c>
      <c r="E118" s="27">
        <f t="shared" si="45"/>
        <v>0.27531184917120793</v>
      </c>
      <c r="F118" s="26">
        <f t="shared" si="45"/>
        <v>1423680839.5</v>
      </c>
      <c r="G118" s="27">
        <f t="shared" si="45"/>
        <v>0.58952390205846872</v>
      </c>
      <c r="H118" s="28">
        <f t="shared" si="45"/>
        <v>-25975376.916666668</v>
      </c>
      <c r="I118" s="26">
        <f t="shared" si="45"/>
        <v>222030908.16666666</v>
      </c>
      <c r="J118" s="26">
        <f t="shared" si="45"/>
        <v>189667923.91666666</v>
      </c>
      <c r="K118" s="27">
        <f t="shared" si="45"/>
        <v>0.29641813544430645</v>
      </c>
      <c r="L118" s="26">
        <f t="shared" si="45"/>
        <v>672188168.41666663</v>
      </c>
      <c r="M118" s="26">
        <f t="shared" si="45"/>
        <v>673274703.16666663</v>
      </c>
      <c r="N118" s="27">
        <f t="shared" si="45"/>
        <v>0.33102437423261472</v>
      </c>
      <c r="O118" s="29">
        <f t="shared" si="45"/>
        <v>0.31802593619863356</v>
      </c>
      <c r="P118" s="30">
        <f>AVERAGE(P106:P117)</f>
        <v>2856823505.5</v>
      </c>
    </row>
    <row r="119" spans="1:16" x14ac:dyDescent="0.25">
      <c r="A119" s="10">
        <v>8</v>
      </c>
      <c r="B119" s="11" t="s">
        <v>128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5"/>
    </row>
    <row r="120" spans="1:16" x14ac:dyDescent="0.25">
      <c r="A120" s="16">
        <v>1</v>
      </c>
      <c r="B120" s="17" t="s">
        <v>129</v>
      </c>
      <c r="C120" s="31">
        <v>842547343</v>
      </c>
      <c r="D120" s="31">
        <v>332939865</v>
      </c>
      <c r="E120" s="19">
        <f t="shared" ref="E120:E132" si="46">D120/C120</f>
        <v>0.39515864332860401</v>
      </c>
      <c r="F120" s="31">
        <v>281021327</v>
      </c>
      <c r="G120" s="19">
        <f t="shared" ref="G120:G132" si="47">F120/C120</f>
        <v>0.33353772857366898</v>
      </c>
      <c r="H120" s="20">
        <v>-64912129</v>
      </c>
      <c r="I120" s="20">
        <f>154483237+41177209+605589+2345358</f>
        <v>198611393</v>
      </c>
      <c r="J120" s="20">
        <f>62948723+72016829+317152+5212324</f>
        <v>140495028</v>
      </c>
      <c r="K120" s="19">
        <f>I120/J120-1</f>
        <v>0.41365424689619612</v>
      </c>
      <c r="L120" s="20">
        <f>78071838+14391836+3511818</f>
        <v>95975492</v>
      </c>
      <c r="M120" s="20">
        <f>40376211+17272756+2530600</f>
        <v>60179567</v>
      </c>
      <c r="N120" s="19">
        <f>L120/M120-1</f>
        <v>0.59481858684692757</v>
      </c>
      <c r="O120" s="22">
        <f t="shared" si="32"/>
        <v>2.0693969768865577</v>
      </c>
      <c r="P120" s="23">
        <f>C120-(I120-L120)</f>
        <v>739911442</v>
      </c>
    </row>
    <row r="121" spans="1:16" x14ac:dyDescent="0.25">
      <c r="A121" s="16">
        <v>2</v>
      </c>
      <c r="B121" s="17" t="s">
        <v>130</v>
      </c>
      <c r="C121" s="31">
        <v>1595244380</v>
      </c>
      <c r="D121" s="31">
        <v>622814795</v>
      </c>
      <c r="E121" s="19">
        <f t="shared" si="46"/>
        <v>0.39041967663913663</v>
      </c>
      <c r="F121" s="31">
        <v>944271466</v>
      </c>
      <c r="G121" s="19">
        <f t="shared" si="47"/>
        <v>0.59192903472256708</v>
      </c>
      <c r="H121" s="20">
        <v>-285446259</v>
      </c>
      <c r="I121" s="20">
        <f>163114697+6295341+757791+47378</f>
        <v>170215207</v>
      </c>
      <c r="J121" s="20">
        <f>140935203+11606216+1564341+1528453</f>
        <v>155634213</v>
      </c>
      <c r="K121" s="19">
        <f t="shared" ref="K121:K132" si="48">I121/J121-1</f>
        <v>9.3687587831346564E-2</v>
      </c>
      <c r="L121" s="20">
        <f>94493467+41586307+4517728</f>
        <v>140597502</v>
      </c>
      <c r="M121" s="20">
        <f>119916849+1986478+4822362</f>
        <v>126725689</v>
      </c>
      <c r="N121" s="19">
        <f t="shared" ref="N121:N132" si="49">L121/M121-1</f>
        <v>0.10946330700162932</v>
      </c>
      <c r="O121" s="22">
        <f t="shared" si="32"/>
        <v>1.2106559830629138</v>
      </c>
      <c r="P121" s="23">
        <f t="shared" ref="P121:P132" si="50">C121-(I121-L121)</f>
        <v>1565626675</v>
      </c>
    </row>
    <row r="122" spans="1:16" x14ac:dyDescent="0.25">
      <c r="A122" s="16">
        <v>3</v>
      </c>
      <c r="B122" s="17" t="s">
        <v>131</v>
      </c>
      <c r="C122" s="31">
        <v>1909657539</v>
      </c>
      <c r="D122" s="31">
        <v>599265802</v>
      </c>
      <c r="E122" s="19">
        <f t="shared" si="46"/>
        <v>0.31380799424058409</v>
      </c>
      <c r="F122" s="31">
        <v>1045116766</v>
      </c>
      <c r="G122" s="19">
        <f t="shared" si="47"/>
        <v>0.54727967955305734</v>
      </c>
      <c r="H122" s="20">
        <v>-25174634</v>
      </c>
      <c r="I122" s="20">
        <f>243291581+7927280+1211290+4390059</f>
        <v>256820210</v>
      </c>
      <c r="J122" s="20">
        <f>155198707+6414609+348854+2474106</f>
        <v>164436276</v>
      </c>
      <c r="K122" s="19">
        <f t="shared" si="48"/>
        <v>0.56182210061726279</v>
      </c>
      <c r="L122" s="20">
        <f>70397072+6325595+1554532</f>
        <v>78277199</v>
      </c>
      <c r="M122" s="20">
        <f>84716359+5571336+1388219</f>
        <v>91675914</v>
      </c>
      <c r="N122" s="19">
        <f t="shared" si="49"/>
        <v>-0.14615305607970264</v>
      </c>
      <c r="O122" s="22">
        <f t="shared" si="32"/>
        <v>3.2809069982179611</v>
      </c>
      <c r="P122" s="23">
        <f t="shared" si="50"/>
        <v>1731114528</v>
      </c>
    </row>
    <row r="123" spans="1:16" x14ac:dyDescent="0.25">
      <c r="A123" s="16">
        <v>4</v>
      </c>
      <c r="B123" s="17" t="s">
        <v>132</v>
      </c>
      <c r="C123" s="31">
        <v>2821693203</v>
      </c>
      <c r="D123" s="31">
        <v>1101803612</v>
      </c>
      <c r="E123" s="19">
        <f t="shared" si="46"/>
        <v>0.39047604850469636</v>
      </c>
      <c r="F123" s="31">
        <v>1519460600</v>
      </c>
      <c r="G123" s="19">
        <f t="shared" si="47"/>
        <v>0.53849249038999791</v>
      </c>
      <c r="H123" s="20">
        <v>-600770262</v>
      </c>
      <c r="I123" s="20">
        <f>349736268+7212619+1072694+9882583</f>
        <v>367904164</v>
      </c>
      <c r="J123" s="20">
        <f>217045234+19251875+1774084+9193211</f>
        <v>247264404</v>
      </c>
      <c r="K123" s="19">
        <f t="shared" si="48"/>
        <v>0.48789780513656145</v>
      </c>
      <c r="L123" s="20">
        <f>250745523+36203528+25097463</f>
        <v>312046514</v>
      </c>
      <c r="M123" s="20">
        <f>319004334+17685354+21573655</f>
        <v>358263343</v>
      </c>
      <c r="N123" s="19">
        <f t="shared" si="49"/>
        <v>-0.12900239419694137</v>
      </c>
      <c r="O123" s="22">
        <f t="shared" si="32"/>
        <v>1.1790042429379615</v>
      </c>
      <c r="P123" s="23">
        <f t="shared" si="50"/>
        <v>2765835553</v>
      </c>
    </row>
    <row r="124" spans="1:16" x14ac:dyDescent="0.25">
      <c r="A124" s="16">
        <v>5</v>
      </c>
      <c r="B124" s="17" t="s">
        <v>133</v>
      </c>
      <c r="C124" s="31">
        <v>3218085343</v>
      </c>
      <c r="D124" s="31">
        <v>1155480412</v>
      </c>
      <c r="E124" s="19">
        <f t="shared" si="46"/>
        <v>0.35905834955974941</v>
      </c>
      <c r="F124" s="31">
        <v>1876845878</v>
      </c>
      <c r="G124" s="19">
        <f t="shared" si="47"/>
        <v>0.58321818036383877</v>
      </c>
      <c r="H124" s="20">
        <v>-224754170</v>
      </c>
      <c r="I124" s="20">
        <f>90649154+18902468+1195955+14939800</f>
        <v>125687377</v>
      </c>
      <c r="J124" s="20">
        <f>141714976+14233019+1682694+484524</f>
        <v>158115213</v>
      </c>
      <c r="K124" s="19">
        <f t="shared" si="48"/>
        <v>-0.20508991756536421</v>
      </c>
      <c r="L124" s="20">
        <f>255202311+10985910+11220260</f>
        <v>277408481</v>
      </c>
      <c r="M124" s="20">
        <f>369253609+152593550+13185735</f>
        <v>535032894</v>
      </c>
      <c r="N124" s="19">
        <f t="shared" si="49"/>
        <v>-0.48151135358043984</v>
      </c>
      <c r="O124" s="22">
        <f t="shared" si="32"/>
        <v>0.45307690863279698</v>
      </c>
      <c r="P124" s="23">
        <f t="shared" si="50"/>
        <v>3369806447</v>
      </c>
    </row>
    <row r="125" spans="1:16" x14ac:dyDescent="0.25">
      <c r="A125" s="16">
        <v>6</v>
      </c>
      <c r="B125" s="17" t="s">
        <v>134</v>
      </c>
      <c r="C125" s="31">
        <v>2003035183</v>
      </c>
      <c r="D125" s="31">
        <v>588236071</v>
      </c>
      <c r="E125" s="19">
        <f t="shared" si="46"/>
        <v>0.29367236082143244</v>
      </c>
      <c r="F125" s="31">
        <v>1072353491</v>
      </c>
      <c r="G125" s="19">
        <f t="shared" si="47"/>
        <v>0.53536428121742086</v>
      </c>
      <c r="H125" s="20">
        <v>-250396279</v>
      </c>
      <c r="I125" s="20">
        <f>74391181+1412334+587574+3148542</f>
        <v>79539631</v>
      </c>
      <c r="J125" s="20">
        <f>118610720+43570295+1179302+651382</f>
        <v>164011699</v>
      </c>
      <c r="K125" s="19">
        <f t="shared" si="48"/>
        <v>-0.51503684502408575</v>
      </c>
      <c r="L125" s="20">
        <f>131855236+3834228+8059199</f>
        <v>143748663</v>
      </c>
      <c r="M125" s="20">
        <f>204595671+116905326+5512483</f>
        <v>327013480</v>
      </c>
      <c r="N125" s="19">
        <f t="shared" si="49"/>
        <v>-0.56041976312413788</v>
      </c>
      <c r="O125" s="22">
        <f t="shared" si="32"/>
        <v>0.55332431857122732</v>
      </c>
      <c r="P125" s="23">
        <f t="shared" si="50"/>
        <v>2067244215</v>
      </c>
    </row>
    <row r="126" spans="1:16" x14ac:dyDescent="0.25">
      <c r="A126" s="16">
        <v>7</v>
      </c>
      <c r="B126" s="17" t="s">
        <v>135</v>
      </c>
      <c r="C126" s="31">
        <v>2080354238</v>
      </c>
      <c r="D126" s="31">
        <v>947432022</v>
      </c>
      <c r="E126" s="19">
        <f t="shared" si="46"/>
        <v>0.45541860356957148</v>
      </c>
      <c r="F126" s="31">
        <v>1067274767</v>
      </c>
      <c r="G126" s="19">
        <f t="shared" si="47"/>
        <v>0.51302549705479539</v>
      </c>
      <c r="H126" s="20">
        <v>-543404412</v>
      </c>
      <c r="I126" s="20">
        <f>218430139+5327101+3165768+8810859</f>
        <v>235733867</v>
      </c>
      <c r="J126" s="20">
        <f>146750131+34459500+768728+8516985</f>
        <v>190495344</v>
      </c>
      <c r="K126" s="19">
        <f t="shared" si="48"/>
        <v>0.23747836587544113</v>
      </c>
      <c r="L126" s="20">
        <f>159304832+1655455+42060279</f>
        <v>203020566</v>
      </c>
      <c r="M126" s="20">
        <f>249328531+1955844+31462824</f>
        <v>282747199</v>
      </c>
      <c r="N126" s="19">
        <f t="shared" si="49"/>
        <v>-0.28197143342877107</v>
      </c>
      <c r="O126" s="22">
        <f t="shared" si="32"/>
        <v>1.1611329415759781</v>
      </c>
      <c r="P126" s="23">
        <f t="shared" si="50"/>
        <v>2047640937</v>
      </c>
    </row>
    <row r="127" spans="1:16" x14ac:dyDescent="0.25">
      <c r="A127" s="16">
        <v>8</v>
      </c>
      <c r="B127" s="17" t="s">
        <v>136</v>
      </c>
      <c r="C127" s="31">
        <v>1322175753</v>
      </c>
      <c r="D127" s="31">
        <v>530850065</v>
      </c>
      <c r="E127" s="19">
        <f t="shared" si="46"/>
        <v>0.40149735297709699</v>
      </c>
      <c r="F127" s="31">
        <v>672901132</v>
      </c>
      <c r="G127" s="19">
        <f t="shared" si="47"/>
        <v>0.50893470892443449</v>
      </c>
      <c r="H127" s="20">
        <v>-110591425</v>
      </c>
      <c r="I127" s="20">
        <f>131348833+38246250+274730+1798271</f>
        <v>171668084</v>
      </c>
      <c r="J127" s="20">
        <f>124576827+47417344+304003+8787698</f>
        <v>181085872</v>
      </c>
      <c r="K127" s="19">
        <f t="shared" si="48"/>
        <v>-5.2007304026456591E-2</v>
      </c>
      <c r="L127" s="20">
        <f>51881792+16355007+682252</f>
        <v>68919051</v>
      </c>
      <c r="M127" s="20">
        <f>76126604+26322461+1302106</f>
        <v>103751171</v>
      </c>
      <c r="N127" s="19">
        <f t="shared" si="49"/>
        <v>-0.33572748783722162</v>
      </c>
      <c r="O127" s="22">
        <f t="shared" si="32"/>
        <v>2.49086546476097</v>
      </c>
      <c r="P127" s="23">
        <f t="shared" si="50"/>
        <v>1219426720</v>
      </c>
    </row>
    <row r="128" spans="1:16" x14ac:dyDescent="0.25">
      <c r="A128" s="16">
        <v>9</v>
      </c>
      <c r="B128" s="17" t="s">
        <v>137</v>
      </c>
      <c r="C128" s="31">
        <v>2619411375</v>
      </c>
      <c r="D128" s="31">
        <v>1044348802</v>
      </c>
      <c r="E128" s="19">
        <f t="shared" si="46"/>
        <v>0.39869598642175857</v>
      </c>
      <c r="F128" s="31">
        <v>1324354422</v>
      </c>
      <c r="G128" s="19">
        <f t="shared" si="47"/>
        <v>0.5055923764551874</v>
      </c>
      <c r="H128" s="20">
        <v>-302714580</v>
      </c>
      <c r="I128" s="20">
        <f>137436680+45287438+2924408+4355895</f>
        <v>190004421</v>
      </c>
      <c r="J128" s="20">
        <f>56422190+20089753+1590216+5895990</f>
        <v>83998149</v>
      </c>
      <c r="K128" s="19">
        <f t="shared" si="48"/>
        <v>1.2620072378023472</v>
      </c>
      <c r="L128" s="20">
        <f>197190601+83124541+3791237</f>
        <v>284106379</v>
      </c>
      <c r="M128" s="20">
        <f>178538857+157004+3122011</f>
        <v>181817872</v>
      </c>
      <c r="N128" s="19">
        <f t="shared" si="49"/>
        <v>0.56258774714952109</v>
      </c>
      <c r="O128" s="22">
        <f t="shared" si="32"/>
        <v>0.66877914416698125</v>
      </c>
      <c r="P128" s="23">
        <f t="shared" si="50"/>
        <v>2713513333</v>
      </c>
    </row>
    <row r="129" spans="1:16" x14ac:dyDescent="0.25">
      <c r="A129" s="16">
        <v>10</v>
      </c>
      <c r="B129" s="17" t="s">
        <v>138</v>
      </c>
      <c r="C129" s="31">
        <v>2660204906</v>
      </c>
      <c r="D129" s="31">
        <v>1046789085</v>
      </c>
      <c r="E129" s="19">
        <f t="shared" si="46"/>
        <v>0.39349941902558089</v>
      </c>
      <c r="F129" s="31">
        <v>1330562433</v>
      </c>
      <c r="G129" s="19">
        <f t="shared" si="47"/>
        <v>0.50017291149225485</v>
      </c>
      <c r="H129" s="20">
        <v>-402670851</v>
      </c>
      <c r="I129" s="20">
        <f>143998950+28249648+3185671+18916254</f>
        <v>194350523</v>
      </c>
      <c r="J129" s="20">
        <f>209195382+17943117+2473042+377965</f>
        <v>229989506</v>
      </c>
      <c r="K129" s="19">
        <f t="shared" si="48"/>
        <v>-0.15495917018057337</v>
      </c>
      <c r="L129" s="20">
        <f>171536798+7579394+5341272</f>
        <v>184457464</v>
      </c>
      <c r="M129" s="20">
        <f>169082400+8212718+2906873</f>
        <v>180201991</v>
      </c>
      <c r="N129" s="19">
        <f t="shared" si="49"/>
        <v>2.3615016551065793E-2</v>
      </c>
      <c r="O129" s="22">
        <f t="shared" si="32"/>
        <v>1.0536332810040152</v>
      </c>
      <c r="P129" s="23">
        <f t="shared" si="50"/>
        <v>2650311847</v>
      </c>
    </row>
    <row r="130" spans="1:16" x14ac:dyDescent="0.25">
      <c r="A130" s="16">
        <v>11</v>
      </c>
      <c r="B130" s="17" t="s">
        <v>139</v>
      </c>
      <c r="C130" s="31">
        <v>1772429569</v>
      </c>
      <c r="D130" s="31">
        <v>818316054</v>
      </c>
      <c r="E130" s="19">
        <f t="shared" si="46"/>
        <v>0.46169171870772374</v>
      </c>
      <c r="F130" s="31">
        <v>881624662</v>
      </c>
      <c r="G130" s="19">
        <f t="shared" si="47"/>
        <v>0.49741026521996601</v>
      </c>
      <c r="H130" s="20">
        <v>-278180667</v>
      </c>
      <c r="I130" s="20">
        <f>184347203+37191527+816741+4077024</f>
        <v>226432495</v>
      </c>
      <c r="J130" s="20">
        <f>96939067+42578398+937696+6513</f>
        <v>140461674</v>
      </c>
      <c r="K130" s="19">
        <f t="shared" si="48"/>
        <v>0.61205892363207925</v>
      </c>
      <c r="L130" s="20">
        <f>215459420+5387911+584629</f>
        <v>221431960</v>
      </c>
      <c r="M130" s="20">
        <f>157885130+23993281+46400</f>
        <v>181924811</v>
      </c>
      <c r="N130" s="19">
        <f t="shared" si="49"/>
        <v>0.2171619625868404</v>
      </c>
      <c r="O130" s="22">
        <f t="shared" si="32"/>
        <v>1.0225827157019249</v>
      </c>
      <c r="P130" s="23">
        <f t="shared" si="50"/>
        <v>1767429034</v>
      </c>
    </row>
    <row r="131" spans="1:16" x14ac:dyDescent="0.25">
      <c r="A131" s="16">
        <v>12</v>
      </c>
      <c r="B131" s="17" t="s">
        <v>140</v>
      </c>
      <c r="C131" s="31">
        <v>1917415104</v>
      </c>
      <c r="D131" s="31">
        <v>648391366</v>
      </c>
      <c r="E131" s="19">
        <f t="shared" si="46"/>
        <v>0.33815910005473704</v>
      </c>
      <c r="F131" s="31">
        <v>1042974253</v>
      </c>
      <c r="G131" s="19">
        <f t="shared" si="47"/>
        <v>0.54394807406294432</v>
      </c>
      <c r="H131" s="20">
        <v>-183632630</v>
      </c>
      <c r="I131" s="20">
        <f>337799672+4922168+611728+1279950</f>
        <v>344613518</v>
      </c>
      <c r="J131" s="20">
        <f>136547402+32476182+958006+350263</f>
        <v>170331853</v>
      </c>
      <c r="K131" s="19">
        <f t="shared" si="48"/>
        <v>1.023188921686891</v>
      </c>
      <c r="L131" s="20">
        <f>150698315+8913247+5922823</f>
        <v>165534385</v>
      </c>
      <c r="M131" s="20">
        <f>202240441+4323593+5697477</f>
        <v>212261511</v>
      </c>
      <c r="N131" s="19">
        <f t="shared" si="49"/>
        <v>-0.22013942037753609</v>
      </c>
      <c r="O131" s="22">
        <f t="shared" si="32"/>
        <v>2.0818243774548715</v>
      </c>
      <c r="P131" s="23">
        <f t="shared" si="50"/>
        <v>1738335971</v>
      </c>
    </row>
    <row r="132" spans="1:16" x14ac:dyDescent="0.25">
      <c r="A132" s="16">
        <v>13</v>
      </c>
      <c r="B132" s="17" t="s">
        <v>141</v>
      </c>
      <c r="C132" s="31">
        <v>1957305126</v>
      </c>
      <c r="D132" s="31">
        <v>792657247</v>
      </c>
      <c r="E132" s="19">
        <f t="shared" si="46"/>
        <v>0.40497377566260967</v>
      </c>
      <c r="F132" s="31">
        <v>1067970243</v>
      </c>
      <c r="G132" s="19">
        <f t="shared" si="47"/>
        <v>0.54563298732197774</v>
      </c>
      <c r="H132" s="20">
        <v>-209124304</v>
      </c>
      <c r="I132" s="20">
        <f>267398698+9673879+833043+2823752</f>
        <v>280729372</v>
      </c>
      <c r="J132" s="20">
        <f>242677117+35046985+1013153+118912</f>
        <v>278856167</v>
      </c>
      <c r="K132" s="19">
        <f t="shared" si="48"/>
        <v>6.7174594707815061E-3</v>
      </c>
      <c r="L132" s="20">
        <f>136367404+1241012+1754340</f>
        <v>139362756</v>
      </c>
      <c r="M132" s="20">
        <f>120880991+785291</f>
        <v>121666282</v>
      </c>
      <c r="N132" s="19">
        <f t="shared" si="49"/>
        <v>0.14545093109691631</v>
      </c>
      <c r="O132" s="22">
        <f t="shared" si="32"/>
        <v>2.0143787340141293</v>
      </c>
      <c r="P132" s="23">
        <f t="shared" si="50"/>
        <v>1815938510</v>
      </c>
    </row>
    <row r="133" spans="1:16" x14ac:dyDescent="0.25">
      <c r="A133" s="4"/>
      <c r="B133" s="25" t="s">
        <v>142</v>
      </c>
      <c r="C133" s="26">
        <f t="shared" ref="C133:O133" si="51">AVERAGE(C120:C132)</f>
        <v>2055350697.0769231</v>
      </c>
      <c r="D133" s="26">
        <f t="shared" si="51"/>
        <v>786871169.07692313</v>
      </c>
      <c r="E133" s="27">
        <f t="shared" si="51"/>
        <v>0.38434838688563705</v>
      </c>
      <c r="F133" s="26">
        <f t="shared" si="51"/>
        <v>1086671649.2307692</v>
      </c>
      <c r="G133" s="27">
        <f t="shared" si="51"/>
        <v>0.51881063195016242</v>
      </c>
      <c r="H133" s="28">
        <f t="shared" si="51"/>
        <v>-267828661.69230768</v>
      </c>
      <c r="I133" s="26">
        <f t="shared" si="51"/>
        <v>218639250.92307693</v>
      </c>
      <c r="J133" s="26">
        <f t="shared" si="51"/>
        <v>177321184.46153846</v>
      </c>
      <c r="K133" s="27">
        <f t="shared" si="51"/>
        <v>0.29010918555018672</v>
      </c>
      <c r="L133" s="26">
        <f t="shared" si="51"/>
        <v>178068185.53846154</v>
      </c>
      <c r="M133" s="26">
        <f t="shared" si="51"/>
        <v>212558594.15384614</v>
      </c>
      <c r="N133" s="27">
        <f t="shared" si="51"/>
        <v>-3.8602104414757692E-2</v>
      </c>
      <c r="O133" s="29">
        <f t="shared" si="51"/>
        <v>1.4799663143837145</v>
      </c>
      <c r="P133" s="30">
        <f>AVERAGE(P120:P132)</f>
        <v>2014779631.6923077</v>
      </c>
    </row>
    <row r="134" spans="1:16" x14ac:dyDescent="0.25">
      <c r="A134" s="10">
        <v>9</v>
      </c>
      <c r="B134" s="11" t="s">
        <v>143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4"/>
      <c r="P134" s="15"/>
    </row>
    <row r="135" spans="1:16" x14ac:dyDescent="0.25">
      <c r="A135" s="16">
        <v>1</v>
      </c>
      <c r="B135" s="17" t="s">
        <v>144</v>
      </c>
      <c r="C135" s="31">
        <v>422969562</v>
      </c>
      <c r="D135" s="31">
        <v>255161137</v>
      </c>
      <c r="E135" s="19">
        <f t="shared" ref="E135:E142" si="52">D135/C135</f>
        <v>0.60326122710456409</v>
      </c>
      <c r="F135" s="31">
        <v>69805814</v>
      </c>
      <c r="G135" s="19">
        <f t="shared" ref="G135:G142" si="53">F135/C135</f>
        <v>0.16503744068467982</v>
      </c>
      <c r="H135" s="20">
        <v>-113250841</v>
      </c>
      <c r="I135" s="20">
        <f>2506144+38760191+34247+8159907</f>
        <v>49460489</v>
      </c>
      <c r="J135" s="20">
        <f>2018290+28674810+3687088</f>
        <v>34380188</v>
      </c>
      <c r="K135" s="19">
        <f>I135/J135-1</f>
        <v>0.43863346529693215</v>
      </c>
      <c r="L135" s="20">
        <f>4449801+578852+1578633</f>
        <v>6607286</v>
      </c>
      <c r="M135" s="20">
        <f>4109093+2520100+812980</f>
        <v>7442173</v>
      </c>
      <c r="N135" s="19">
        <f>L135/M135-1</f>
        <v>-0.11218322927994284</v>
      </c>
      <c r="O135" s="22">
        <f t="shared" si="32"/>
        <v>7.4857496708936164</v>
      </c>
      <c r="P135" s="23">
        <f>C135-(I135-L135)</f>
        <v>380116359</v>
      </c>
    </row>
    <row r="136" spans="1:16" x14ac:dyDescent="0.25">
      <c r="A136" s="16">
        <v>2</v>
      </c>
      <c r="B136" s="17" t="s">
        <v>145</v>
      </c>
      <c r="C136" s="31">
        <v>3261412472</v>
      </c>
      <c r="D136" s="31">
        <v>967385373</v>
      </c>
      <c r="E136" s="19">
        <f t="shared" si="52"/>
        <v>0.2966154637922167</v>
      </c>
      <c r="F136" s="31">
        <v>1914720150</v>
      </c>
      <c r="G136" s="19">
        <f t="shared" si="53"/>
        <v>0.58708310170465305</v>
      </c>
      <c r="H136" s="20">
        <v>-102474232</v>
      </c>
      <c r="I136" s="20">
        <f>434219014+125053743+916467+12981247</f>
        <v>573170471</v>
      </c>
      <c r="J136" s="20">
        <f>271539012+155974041+2181882+2288018</f>
        <v>431982953</v>
      </c>
      <c r="K136" s="19">
        <f t="shared" ref="K136:K142" si="54">I136/J136-1</f>
        <v>0.32683585548802885</v>
      </c>
      <c r="L136" s="20">
        <f>252243619+18127750+33792226</f>
        <v>304163595</v>
      </c>
      <c r="M136" s="20">
        <f>293136161+12827717+19983727</f>
        <v>325947605</v>
      </c>
      <c r="N136" s="19">
        <f t="shared" ref="N136:N142" si="55">L136/M136-1</f>
        <v>-6.6832857998757156E-2</v>
      </c>
      <c r="O136" s="22">
        <f t="shared" si="32"/>
        <v>1.8844150990522057</v>
      </c>
      <c r="P136" s="23">
        <f t="shared" ref="P136:P142" si="56">C136-(I136-L136)</f>
        <v>2992405596</v>
      </c>
    </row>
    <row r="137" spans="1:16" x14ac:dyDescent="0.25">
      <c r="A137" s="16">
        <v>3</v>
      </c>
      <c r="B137" s="17" t="s">
        <v>146</v>
      </c>
      <c r="C137" s="31">
        <v>1276382582</v>
      </c>
      <c r="D137" s="31">
        <v>535848527</v>
      </c>
      <c r="E137" s="19">
        <f t="shared" si="52"/>
        <v>0.41981811296763683</v>
      </c>
      <c r="F137" s="31">
        <v>643194228</v>
      </c>
      <c r="G137" s="19">
        <f t="shared" si="53"/>
        <v>0.50391962180505534</v>
      </c>
      <c r="H137" s="20">
        <v>-112999901</v>
      </c>
      <c r="I137" s="20">
        <f>175495414+13672951+1707468+10439764</f>
        <v>201315597</v>
      </c>
      <c r="J137" s="20">
        <f>81498073+33146724+1791765+4967310</f>
        <v>121403872</v>
      </c>
      <c r="K137" s="19">
        <f t="shared" si="54"/>
        <v>0.65823044754289217</v>
      </c>
      <c r="L137" s="20">
        <f>178372032+5879729+10277847</f>
        <v>194529608</v>
      </c>
      <c r="M137" s="20">
        <f>176491835+18463158+2519497</f>
        <v>197474490</v>
      </c>
      <c r="N137" s="19">
        <f t="shared" si="55"/>
        <v>-1.4912721131726925E-2</v>
      </c>
      <c r="O137" s="22">
        <f t="shared" si="32"/>
        <v>1.034884093325269</v>
      </c>
      <c r="P137" s="23">
        <f t="shared" si="56"/>
        <v>1269596593</v>
      </c>
    </row>
    <row r="138" spans="1:16" x14ac:dyDescent="0.25">
      <c r="A138" s="16">
        <v>4</v>
      </c>
      <c r="B138" s="17" t="s">
        <v>147</v>
      </c>
      <c r="C138" s="31">
        <v>2257190816</v>
      </c>
      <c r="D138" s="31">
        <v>692925552</v>
      </c>
      <c r="E138" s="19">
        <f t="shared" si="52"/>
        <v>0.30698581045440509</v>
      </c>
      <c r="F138" s="31">
        <v>1199593840</v>
      </c>
      <c r="G138" s="19">
        <f t="shared" si="53"/>
        <v>0.53145433319005675</v>
      </c>
      <c r="H138" s="20">
        <v>14053917</v>
      </c>
      <c r="I138" s="20">
        <f>176258193+35936606+944783+27005726</f>
        <v>240145308</v>
      </c>
      <c r="J138" s="20">
        <f>67808472+20511881+1569900+3931098</f>
        <v>93821351</v>
      </c>
      <c r="K138" s="19">
        <f t="shared" si="54"/>
        <v>1.5596018970138257</v>
      </c>
      <c r="L138" s="20">
        <f>167277905+11226053+57673061</f>
        <v>236177019</v>
      </c>
      <c r="M138" s="20">
        <f>159034641+44477031+41633634</f>
        <v>245145306</v>
      </c>
      <c r="N138" s="19">
        <f t="shared" si="55"/>
        <v>-3.6583555876856133E-2</v>
      </c>
      <c r="O138" s="22">
        <f t="shared" si="32"/>
        <v>1.0168021809099046</v>
      </c>
      <c r="P138" s="23">
        <f t="shared" si="56"/>
        <v>2253222527</v>
      </c>
    </row>
    <row r="139" spans="1:16" x14ac:dyDescent="0.25">
      <c r="A139" s="16">
        <v>5</v>
      </c>
      <c r="B139" s="17" t="s">
        <v>148</v>
      </c>
      <c r="C139" s="31">
        <v>2931457482</v>
      </c>
      <c r="D139" s="31">
        <v>761602402</v>
      </c>
      <c r="E139" s="19">
        <f t="shared" si="52"/>
        <v>0.25980332536851031</v>
      </c>
      <c r="F139" s="31">
        <v>1846899255</v>
      </c>
      <c r="G139" s="19">
        <f t="shared" si="53"/>
        <v>0.63002764540863976</v>
      </c>
      <c r="H139" s="20">
        <v>-67664845</v>
      </c>
      <c r="I139" s="20">
        <f>415943076+34608958+894838+1183145</f>
        <v>452630017</v>
      </c>
      <c r="J139" s="20">
        <f>289101250+134541134+1101832+6629654</f>
        <v>431373870</v>
      </c>
      <c r="K139" s="19">
        <f t="shared" si="54"/>
        <v>4.9275462605094633E-2</v>
      </c>
      <c r="L139" s="20">
        <f>319886835+20592860+59165909</f>
        <v>399645604</v>
      </c>
      <c r="M139" s="20">
        <f>340692558+1044108+53698452</f>
        <v>395435118</v>
      </c>
      <c r="N139" s="19">
        <f t="shared" si="55"/>
        <v>1.0647729066895817E-2</v>
      </c>
      <c r="O139" s="22">
        <f t="shared" si="32"/>
        <v>1.1325784957214242</v>
      </c>
      <c r="P139" s="23">
        <f t="shared" si="56"/>
        <v>2878473069</v>
      </c>
    </row>
    <row r="140" spans="1:16" x14ac:dyDescent="0.25">
      <c r="A140" s="16">
        <v>6</v>
      </c>
      <c r="B140" s="17" t="s">
        <v>149</v>
      </c>
      <c r="C140" s="31">
        <v>2124907148</v>
      </c>
      <c r="D140" s="31">
        <v>701522423</v>
      </c>
      <c r="E140" s="19">
        <f t="shared" si="52"/>
        <v>0.3301426246602282</v>
      </c>
      <c r="F140" s="31">
        <v>1224705997</v>
      </c>
      <c r="G140" s="19">
        <f t="shared" si="53"/>
        <v>0.57635741785362948</v>
      </c>
      <c r="H140" s="20">
        <v>-64886567</v>
      </c>
      <c r="I140" s="20">
        <f>278243574+26034+1030478+1866126</f>
        <v>281166212</v>
      </c>
      <c r="J140" s="20">
        <f>172445144+8742092+2823138+694</f>
        <v>184011068</v>
      </c>
      <c r="K140" s="19">
        <f t="shared" si="54"/>
        <v>0.52798532749127891</v>
      </c>
      <c r="L140" s="20">
        <f>233757759+32578789+28712492</f>
        <v>295049040</v>
      </c>
      <c r="M140" s="20">
        <f>272709155+22153714+5963779</f>
        <v>300826648</v>
      </c>
      <c r="N140" s="19">
        <f t="shared" si="55"/>
        <v>-1.9205771956744999E-2</v>
      </c>
      <c r="O140" s="22">
        <f t="shared" si="32"/>
        <v>0.95294738800031342</v>
      </c>
      <c r="P140" s="23">
        <f t="shared" si="56"/>
        <v>2138789976</v>
      </c>
    </row>
    <row r="141" spans="1:16" x14ac:dyDescent="0.25">
      <c r="A141" s="16">
        <v>7</v>
      </c>
      <c r="B141" s="17" t="s">
        <v>150</v>
      </c>
      <c r="C141" s="31">
        <v>3186829814</v>
      </c>
      <c r="D141" s="31">
        <v>1023931673</v>
      </c>
      <c r="E141" s="19">
        <f t="shared" si="52"/>
        <v>0.32130102100268604</v>
      </c>
      <c r="F141" s="31">
        <v>1894349111</v>
      </c>
      <c r="G141" s="19">
        <f t="shared" si="53"/>
        <v>0.59443058511564428</v>
      </c>
      <c r="H141" s="20">
        <v>-299510856</v>
      </c>
      <c r="I141" s="20">
        <f>583832042+9619363+1717320+34150980</f>
        <v>629319705</v>
      </c>
      <c r="J141" s="20">
        <f>412361608+82200474+1117387+2975158</f>
        <v>498654627</v>
      </c>
      <c r="K141" s="19">
        <f t="shared" si="54"/>
        <v>0.26203522623685593</v>
      </c>
      <c r="L141" s="20">
        <f>511723713+6051599+36237748</f>
        <v>554013060</v>
      </c>
      <c r="M141" s="20">
        <f>457420214+4280801+31163544</f>
        <v>492864559</v>
      </c>
      <c r="N141" s="19">
        <f t="shared" si="55"/>
        <v>0.12406755544376646</v>
      </c>
      <c r="O141" s="22">
        <f t="shared" si="32"/>
        <v>1.1359293678022682</v>
      </c>
      <c r="P141" s="23">
        <f t="shared" si="56"/>
        <v>3111523169</v>
      </c>
    </row>
    <row r="142" spans="1:16" x14ac:dyDescent="0.25">
      <c r="A142" s="16">
        <v>8</v>
      </c>
      <c r="B142" s="17" t="s">
        <v>151</v>
      </c>
      <c r="C142" s="31">
        <v>1952229622</v>
      </c>
      <c r="D142" s="31">
        <v>715336219</v>
      </c>
      <c r="E142" s="19">
        <f t="shared" si="52"/>
        <v>0.36642012340083219</v>
      </c>
      <c r="F142" s="31">
        <v>1069465818</v>
      </c>
      <c r="G142" s="19">
        <f t="shared" si="53"/>
        <v>0.54781763679231787</v>
      </c>
      <c r="H142" s="20">
        <v>-25244289</v>
      </c>
      <c r="I142" s="20">
        <f>272834384+50478219+5215527+18779455</f>
        <v>347307585</v>
      </c>
      <c r="J142" s="20">
        <f>134022821+72453937+5949335+14313390</f>
        <v>226739483</v>
      </c>
      <c r="K142" s="19">
        <f t="shared" si="54"/>
        <v>0.531747274029023</v>
      </c>
      <c r="L142" s="20">
        <f>283173673+9999566+29467335</f>
        <v>322640574</v>
      </c>
      <c r="M142" s="20">
        <f>266665895+7674712+14383084</f>
        <v>288723691</v>
      </c>
      <c r="N142" s="19">
        <f t="shared" si="55"/>
        <v>0.11747176992136743</v>
      </c>
      <c r="O142" s="22">
        <f t="shared" si="32"/>
        <v>1.0764535306089555</v>
      </c>
      <c r="P142" s="23">
        <f t="shared" si="56"/>
        <v>1927562611</v>
      </c>
    </row>
    <row r="143" spans="1:16" x14ac:dyDescent="0.25">
      <c r="A143" s="4"/>
      <c r="B143" s="25" t="s">
        <v>152</v>
      </c>
      <c r="C143" s="26">
        <f t="shared" ref="C143:O143" si="57">AVERAGE(C135:C142)</f>
        <v>2176672437.25</v>
      </c>
      <c r="D143" s="26">
        <f t="shared" si="57"/>
        <v>706714163.25</v>
      </c>
      <c r="E143" s="27">
        <f t="shared" si="57"/>
        <v>0.36304346359388495</v>
      </c>
      <c r="F143" s="26">
        <f t="shared" si="57"/>
        <v>1232841776.625</v>
      </c>
      <c r="G143" s="27">
        <f t="shared" si="57"/>
        <v>0.51701597281933465</v>
      </c>
      <c r="H143" s="28">
        <f t="shared" si="57"/>
        <v>-96497201.75</v>
      </c>
      <c r="I143" s="26">
        <f t="shared" si="57"/>
        <v>346814423</v>
      </c>
      <c r="J143" s="26">
        <f t="shared" si="57"/>
        <v>252795926.5</v>
      </c>
      <c r="K143" s="27">
        <f t="shared" si="57"/>
        <v>0.5442931194629913</v>
      </c>
      <c r="L143" s="26">
        <f t="shared" si="57"/>
        <v>289103223.25</v>
      </c>
      <c r="M143" s="26">
        <f t="shared" si="57"/>
        <v>281732448.75</v>
      </c>
      <c r="N143" s="27">
        <f t="shared" si="57"/>
        <v>3.0861477350020705E-4</v>
      </c>
      <c r="O143" s="29">
        <f t="shared" si="57"/>
        <v>1.9649699782892442</v>
      </c>
      <c r="P143" s="30">
        <f>AVERAGE(P135:P142)</f>
        <v>2118961237.5</v>
      </c>
    </row>
    <row r="144" spans="1:16" x14ac:dyDescent="0.25">
      <c r="A144" s="10">
        <v>10</v>
      </c>
      <c r="B144" s="11" t="s">
        <v>153</v>
      </c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5"/>
    </row>
    <row r="145" spans="1:16" ht="30" x14ac:dyDescent="0.25">
      <c r="A145" s="16">
        <v>1</v>
      </c>
      <c r="B145" s="33" t="s">
        <v>154</v>
      </c>
      <c r="C145" s="31">
        <v>6708165726</v>
      </c>
      <c r="D145" s="31">
        <v>2357811868</v>
      </c>
      <c r="E145" s="19">
        <f>D145/C145</f>
        <v>0.35148384287248896</v>
      </c>
      <c r="F145" s="31">
        <v>3845332731</v>
      </c>
      <c r="G145" s="19">
        <f>F145/C145</f>
        <v>0.57323162367560143</v>
      </c>
      <c r="H145" s="31">
        <v>-418829635</v>
      </c>
      <c r="I145" s="18">
        <f>265561982+95274162+10622389+46930888</f>
        <v>418389421</v>
      </c>
      <c r="J145" s="18">
        <f>308580140+55238830+7697446+2772733</f>
        <v>374289149</v>
      </c>
      <c r="K145" s="19">
        <f>I145/J145-1</f>
        <v>0.11782407296023423</v>
      </c>
      <c r="L145" s="18">
        <f>580748528+2594835+7262543</f>
        <v>590605906</v>
      </c>
      <c r="M145" s="18">
        <f>909389167+1753301+259404</f>
        <v>911401872</v>
      </c>
      <c r="N145" s="19">
        <f>L145/M145-1</f>
        <v>-0.35198080655247987</v>
      </c>
      <c r="O145" s="22">
        <f t="shared" ref="O145:O148" si="58">I145/L145</f>
        <v>0.70840710658250683</v>
      </c>
      <c r="P145" s="23">
        <f>C145-(I145-L145)</f>
        <v>6880382211</v>
      </c>
    </row>
    <row r="146" spans="1:16" x14ac:dyDescent="0.25">
      <c r="A146" s="4"/>
      <c r="B146" s="25" t="s">
        <v>155</v>
      </c>
      <c r="C146" s="26">
        <f t="shared" ref="C146:O146" si="59">AVERAGE(C145)</f>
        <v>6708165726</v>
      </c>
      <c r="D146" s="26">
        <f t="shared" si="59"/>
        <v>2357811868</v>
      </c>
      <c r="E146" s="27">
        <f t="shared" si="59"/>
        <v>0.35148384287248896</v>
      </c>
      <c r="F146" s="26">
        <f t="shared" si="59"/>
        <v>3845332731</v>
      </c>
      <c r="G146" s="27">
        <f t="shared" si="59"/>
        <v>0.57323162367560143</v>
      </c>
      <c r="H146" s="28">
        <f t="shared" si="59"/>
        <v>-418829635</v>
      </c>
      <c r="I146" s="26">
        <f t="shared" si="59"/>
        <v>418389421</v>
      </c>
      <c r="J146" s="26">
        <f t="shared" si="59"/>
        <v>374289149</v>
      </c>
      <c r="K146" s="27">
        <f t="shared" si="59"/>
        <v>0.11782407296023423</v>
      </c>
      <c r="L146" s="26">
        <f t="shared" si="59"/>
        <v>590605906</v>
      </c>
      <c r="M146" s="26">
        <f t="shared" si="59"/>
        <v>911401872</v>
      </c>
      <c r="N146" s="27">
        <f t="shared" si="59"/>
        <v>-0.35198080655247987</v>
      </c>
      <c r="O146" s="29">
        <f t="shared" si="59"/>
        <v>0.70840710658250683</v>
      </c>
      <c r="P146" s="30">
        <f>AVERAGE(P145)</f>
        <v>6880382211</v>
      </c>
    </row>
    <row r="147" spans="1:16" x14ac:dyDescent="0.25">
      <c r="A147" s="10">
        <v>11</v>
      </c>
      <c r="B147" s="11" t="s">
        <v>156</v>
      </c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5"/>
    </row>
    <row r="148" spans="1:16" x14ac:dyDescent="0.25">
      <c r="A148" s="16">
        <v>1</v>
      </c>
      <c r="B148" s="33" t="s">
        <v>167</v>
      </c>
      <c r="C148" s="31">
        <v>22264361</v>
      </c>
      <c r="D148" s="31">
        <v>14585356</v>
      </c>
      <c r="E148" s="19">
        <f>D148/C148</f>
        <v>0.65509879219080214</v>
      </c>
      <c r="F148" s="31">
        <v>5053660</v>
      </c>
      <c r="G148" s="19">
        <f>F148/C148</f>
        <v>0.22698428218981898</v>
      </c>
      <c r="H148" s="31">
        <v>12675</v>
      </c>
      <c r="I148" s="31">
        <f>134597+243708</f>
        <v>378305</v>
      </c>
      <c r="J148" s="31"/>
      <c r="K148" s="19"/>
      <c r="L148" s="31">
        <f>262909+13748+37638</f>
        <v>314295</v>
      </c>
      <c r="M148" s="31"/>
      <c r="N148" s="19"/>
      <c r="O148" s="22">
        <f t="shared" si="58"/>
        <v>1.2036621645269572</v>
      </c>
      <c r="P148" s="23">
        <f>C148-(I148-L148)</f>
        <v>22200351</v>
      </c>
    </row>
    <row r="149" spans="1:16" x14ac:dyDescent="0.25">
      <c r="A149" s="16">
        <v>2</v>
      </c>
      <c r="B149" s="33" t="s">
        <v>168</v>
      </c>
      <c r="C149" s="31">
        <v>42848115</v>
      </c>
      <c r="D149" s="31">
        <v>54152835</v>
      </c>
      <c r="E149" s="19">
        <f>D149/C149</f>
        <v>1.2638323762900654</v>
      </c>
      <c r="F149" s="31">
        <v>5242828</v>
      </c>
      <c r="G149" s="19">
        <f>F149/C149</f>
        <v>0.12235842813622023</v>
      </c>
      <c r="H149" s="31">
        <v>-39138728</v>
      </c>
      <c r="I149" s="31">
        <f>2114322+294613+112590</f>
        <v>2521525</v>
      </c>
      <c r="J149" s="31">
        <f>763158+1901+137946</f>
        <v>903005</v>
      </c>
      <c r="K149" s="19">
        <f>I149/J149-1</f>
        <v>1.7923710278459146</v>
      </c>
      <c r="L149" s="31">
        <f>2539753</f>
        <v>2539753</v>
      </c>
      <c r="M149" s="31">
        <f>2442506+196584</f>
        <v>2639090</v>
      </c>
      <c r="N149" s="19">
        <f>L149/M149-1</f>
        <v>-3.7640626124914256E-2</v>
      </c>
      <c r="O149" s="22">
        <f>I149/L149</f>
        <v>0.99282292411899897</v>
      </c>
      <c r="P149" s="23">
        <f>C149-(I149-L149)</f>
        <v>42866343</v>
      </c>
    </row>
    <row r="150" spans="1:16" ht="75" x14ac:dyDescent="0.25">
      <c r="A150" s="16">
        <v>3</v>
      </c>
      <c r="B150" s="33" t="s">
        <v>169</v>
      </c>
      <c r="C150" s="31"/>
      <c r="D150" s="31"/>
      <c r="E150" s="19"/>
      <c r="F150" s="31"/>
      <c r="G150" s="19"/>
      <c r="H150" s="31"/>
      <c r="I150" s="31"/>
      <c r="J150" s="31"/>
      <c r="K150" s="19"/>
      <c r="L150" s="31"/>
      <c r="M150" s="31"/>
      <c r="N150" s="19"/>
      <c r="O150" s="22"/>
      <c r="P150" s="23"/>
    </row>
    <row r="151" spans="1:16" x14ac:dyDescent="0.25">
      <c r="A151" s="4"/>
      <c r="B151" s="25" t="s">
        <v>157</v>
      </c>
      <c r="C151" s="26">
        <f t="shared" ref="C151:P151" si="60">AVERAGE(C148:C149)</f>
        <v>32556238</v>
      </c>
      <c r="D151" s="26">
        <f t="shared" si="60"/>
        <v>34369095.5</v>
      </c>
      <c r="E151" s="27">
        <f t="shared" si="60"/>
        <v>0.95946558424043382</v>
      </c>
      <c r="F151" s="26">
        <f t="shared" si="60"/>
        <v>5148244</v>
      </c>
      <c r="G151" s="27">
        <f t="shared" si="60"/>
        <v>0.1746713551630196</v>
      </c>
      <c r="H151" s="28">
        <f t="shared" si="60"/>
        <v>-19563026.5</v>
      </c>
      <c r="I151" s="26">
        <f t="shared" si="60"/>
        <v>1449915</v>
      </c>
      <c r="J151" s="26">
        <f t="shared" si="60"/>
        <v>903005</v>
      </c>
      <c r="K151" s="27">
        <f t="shared" si="60"/>
        <v>1.7923710278459146</v>
      </c>
      <c r="L151" s="26">
        <f t="shared" si="60"/>
        <v>1427024</v>
      </c>
      <c r="M151" s="26">
        <f t="shared" si="60"/>
        <v>2639090</v>
      </c>
      <c r="N151" s="27">
        <f t="shared" si="60"/>
        <v>-3.7640626124914256E-2</v>
      </c>
      <c r="O151" s="29">
        <f t="shared" si="60"/>
        <v>1.0982425443229782</v>
      </c>
      <c r="P151" s="30">
        <f t="shared" si="60"/>
        <v>32533347</v>
      </c>
    </row>
    <row r="152" spans="1:16" x14ac:dyDescent="0.25">
      <c r="A152" s="10">
        <v>12</v>
      </c>
      <c r="B152" s="11" t="s">
        <v>158</v>
      </c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4"/>
      <c r="P152" s="15"/>
    </row>
    <row r="153" spans="1:16" ht="90" x14ac:dyDescent="0.25">
      <c r="A153" s="16">
        <v>1</v>
      </c>
      <c r="B153" s="33" t="s">
        <v>159</v>
      </c>
      <c r="C153" s="32"/>
      <c r="D153" s="32"/>
      <c r="E153" s="19"/>
      <c r="F153" s="32"/>
      <c r="G153" s="19"/>
      <c r="H153" s="32"/>
      <c r="I153" s="32"/>
      <c r="J153" s="32"/>
      <c r="K153" s="19"/>
      <c r="L153" s="32"/>
      <c r="M153" s="32"/>
      <c r="N153" s="19"/>
      <c r="O153" s="22"/>
      <c r="P153" s="23"/>
    </row>
    <row r="154" spans="1:16" x14ac:dyDescent="0.25">
      <c r="A154" s="4"/>
      <c r="B154" s="25" t="s">
        <v>160</v>
      </c>
      <c r="C154" s="26"/>
      <c r="D154" s="26"/>
      <c r="E154" s="27"/>
      <c r="F154" s="26"/>
      <c r="G154" s="27"/>
      <c r="H154" s="28"/>
      <c r="I154" s="26"/>
      <c r="J154" s="26"/>
      <c r="K154" s="27"/>
      <c r="L154" s="26"/>
      <c r="M154" s="26"/>
      <c r="N154" s="27"/>
      <c r="O154" s="29"/>
      <c r="P154" s="30"/>
    </row>
  </sheetData>
  <mergeCells count="1">
    <mergeCell ref="A2:P2"/>
  </mergeCells>
  <conditionalFormatting sqref="P7:P16 H57:H71 P56:P71 P119:P132 P134:P142 P144:P145 P152:P153 P87:P117 P73:P85 P147:P150">
    <cfRule type="cellIs" dxfId="103" priority="113" operator="lessThan">
      <formula>0</formula>
    </cfRule>
  </conditionalFormatting>
  <conditionalFormatting sqref="P7:P16 P55 P36:P53 P18:P34">
    <cfRule type="cellIs" dxfId="102" priority="112" operator="lessThan">
      <formula>0</formula>
    </cfRule>
  </conditionalFormatting>
  <conditionalFormatting sqref="H73 H7:J16 H87 H104:H105 H119 H134 H6:H16 H144:H145 H147 H152:H153 H55 H36:H53 H18:H34">
    <cfRule type="cellIs" dxfId="101" priority="111" operator="lessThan">
      <formula>0</formula>
    </cfRule>
  </conditionalFormatting>
  <conditionalFormatting sqref="E6:E16 G56:G71 G119:G132 E119:E132 E134:E142 G134:G142 G144:G145 E144:E145 G152:G153 E152:E153 G87:G117 E87:E117 G73:G85 E73:E85 E55:E71 E36:E53 E18:E34 G147:G150 E147:E150">
    <cfRule type="cellIs" dxfId="100" priority="110" operator="greaterThan">
      <formula>0.8</formula>
    </cfRule>
  </conditionalFormatting>
  <conditionalFormatting sqref="G6:G16 G55 G36:G53 G18:G34">
    <cfRule type="cellIs" dxfId="99" priority="109" operator="greaterThan">
      <formula>0.8</formula>
    </cfRule>
  </conditionalFormatting>
  <conditionalFormatting sqref="K6:K16 K119:K132 K134:K142 K144:K145 K152:K153 K87:K117 K73:K85 K55:K71 K36:K53 K18:K34 K147:K150">
    <cfRule type="cellIs" dxfId="98" priority="107" operator="greaterThan">
      <formula>0</formula>
    </cfRule>
    <cfRule type="cellIs" dxfId="97" priority="108" operator="greaterThan">
      <formula>1</formula>
    </cfRule>
  </conditionalFormatting>
  <conditionalFormatting sqref="N6:N16 N119:N132 N134:N142 N152:N153 N87:N117 N73:N85 N55:N71 N36:N53 N18:N34 N147:N150 N144:N145">
    <cfRule type="cellIs" dxfId="96" priority="106" operator="greaterThan">
      <formula>0</formula>
    </cfRule>
  </conditionalFormatting>
  <conditionalFormatting sqref="O6:O16 O119:O132 O134:O142 O144:O145 O152:O153 O87:O117 O73:O85 O55:O71 O36:O53 O18:O34 O147:O150">
    <cfRule type="cellIs" dxfId="95" priority="105" operator="greaterThan">
      <formula>2</formula>
    </cfRule>
  </conditionalFormatting>
  <conditionalFormatting sqref="L7:M16">
    <cfRule type="cellIs" dxfId="94" priority="104" operator="lessThan">
      <formula>0</formula>
    </cfRule>
  </conditionalFormatting>
  <conditionalFormatting sqref="H74:H85">
    <cfRule type="cellIs" dxfId="93" priority="102" operator="lessThan">
      <formula>0</formula>
    </cfRule>
  </conditionalFormatting>
  <conditionalFormatting sqref="H88:H103">
    <cfRule type="cellIs" dxfId="92" priority="101" operator="lessThan">
      <formula>0</formula>
    </cfRule>
  </conditionalFormatting>
  <conditionalFormatting sqref="H106:H117">
    <cfRule type="cellIs" dxfId="91" priority="100" operator="lessThan">
      <formula>0</formula>
    </cfRule>
  </conditionalFormatting>
  <conditionalFormatting sqref="H120:J132">
    <cfRule type="cellIs" dxfId="90" priority="99" operator="lessThan">
      <formula>0</formula>
    </cfRule>
  </conditionalFormatting>
  <conditionalFormatting sqref="L120:M132">
    <cfRule type="cellIs" dxfId="89" priority="98" operator="lessThan">
      <formula>0</formula>
    </cfRule>
  </conditionalFormatting>
  <conditionalFormatting sqref="I106:J117">
    <cfRule type="cellIs" dxfId="88" priority="97" operator="lessThan">
      <formula>0</formula>
    </cfRule>
  </conditionalFormatting>
  <conditionalFormatting sqref="P5">
    <cfRule type="cellIs" dxfId="87" priority="10" operator="lessThan">
      <formula>0</formula>
    </cfRule>
  </conditionalFormatting>
  <conditionalFormatting sqref="E5 G5">
    <cfRule type="cellIs" dxfId="86" priority="8" operator="greaterThan">
      <formula>0.8</formula>
    </cfRule>
  </conditionalFormatting>
  <conditionalFormatting sqref="K5">
    <cfRule type="cellIs" dxfId="85" priority="6" operator="greaterThan">
      <formula>0</formula>
    </cfRule>
    <cfRule type="cellIs" dxfId="84" priority="7" operator="greaterThan">
      <formula>1</formula>
    </cfRule>
  </conditionalFormatting>
  <conditionalFormatting sqref="N5">
    <cfRule type="cellIs" dxfId="83" priority="5" operator="greaterThan">
      <formula>0</formula>
    </cfRule>
  </conditionalFormatting>
  <conditionalFormatting sqref="O5">
    <cfRule type="cellIs" dxfId="82" priority="4" operator="greaterThan">
      <formula>2</formula>
    </cfRule>
  </conditionalFormatting>
  <conditionalFormatting sqref="H56">
    <cfRule type="cellIs" dxfId="81" priority="89" operator="lessThan">
      <formula>0</formula>
    </cfRule>
  </conditionalFormatting>
  <conditionalFormatting sqref="P118">
    <cfRule type="cellIs" dxfId="80" priority="87" operator="lessThan">
      <formula>0</formula>
    </cfRule>
  </conditionalFormatting>
  <conditionalFormatting sqref="H118">
    <cfRule type="cellIs" dxfId="79" priority="86" operator="lessThan">
      <formula>0</formula>
    </cfRule>
  </conditionalFormatting>
  <conditionalFormatting sqref="E118 G118">
    <cfRule type="cellIs" dxfId="78" priority="85" operator="greaterThan">
      <formula>0.8</formula>
    </cfRule>
  </conditionalFormatting>
  <conditionalFormatting sqref="K118">
    <cfRule type="cellIs" dxfId="77" priority="83" operator="greaterThan">
      <formula>0</formula>
    </cfRule>
    <cfRule type="cellIs" dxfId="76" priority="84" operator="greaterThan">
      <formula>1</formula>
    </cfRule>
  </conditionalFormatting>
  <conditionalFormatting sqref="N118">
    <cfRule type="cellIs" dxfId="75" priority="82" operator="greaterThan">
      <formula>0</formula>
    </cfRule>
  </conditionalFormatting>
  <conditionalFormatting sqref="O118">
    <cfRule type="cellIs" dxfId="74" priority="81" operator="greaterThan">
      <formula>2</formula>
    </cfRule>
  </conditionalFormatting>
  <conditionalFormatting sqref="P133">
    <cfRule type="cellIs" dxfId="73" priority="80" operator="lessThan">
      <formula>0</formula>
    </cfRule>
  </conditionalFormatting>
  <conditionalFormatting sqref="H133">
    <cfRule type="cellIs" dxfId="72" priority="79" operator="lessThan">
      <formula>0</formula>
    </cfRule>
  </conditionalFormatting>
  <conditionalFormatting sqref="E133 G133">
    <cfRule type="cellIs" dxfId="71" priority="78" operator="greaterThan">
      <formula>0.8</formula>
    </cfRule>
  </conditionalFormatting>
  <conditionalFormatting sqref="K133">
    <cfRule type="cellIs" dxfId="70" priority="76" operator="greaterThan">
      <formula>0</formula>
    </cfRule>
    <cfRule type="cellIs" dxfId="69" priority="77" operator="greaterThan">
      <formula>1</formula>
    </cfRule>
  </conditionalFormatting>
  <conditionalFormatting sqref="N133">
    <cfRule type="cellIs" dxfId="68" priority="75" operator="greaterThan">
      <formula>0</formula>
    </cfRule>
  </conditionalFormatting>
  <conditionalFormatting sqref="O133">
    <cfRule type="cellIs" dxfId="67" priority="74" operator="greaterThan">
      <formula>2</formula>
    </cfRule>
  </conditionalFormatting>
  <conditionalFormatting sqref="P143">
    <cfRule type="cellIs" dxfId="66" priority="73" operator="lessThan">
      <formula>0</formula>
    </cfRule>
  </conditionalFormatting>
  <conditionalFormatting sqref="H143">
    <cfRule type="cellIs" dxfId="65" priority="72" operator="lessThan">
      <formula>0</formula>
    </cfRule>
  </conditionalFormatting>
  <conditionalFormatting sqref="E143 G143">
    <cfRule type="cellIs" dxfId="64" priority="71" operator="greaterThan">
      <formula>0.8</formula>
    </cfRule>
  </conditionalFormatting>
  <conditionalFormatting sqref="K143">
    <cfRule type="cellIs" dxfId="63" priority="69" operator="greaterThan">
      <formula>0</formula>
    </cfRule>
    <cfRule type="cellIs" dxfId="62" priority="70" operator="greaterThan">
      <formula>1</formula>
    </cfRule>
  </conditionalFormatting>
  <conditionalFormatting sqref="N143">
    <cfRule type="cellIs" dxfId="61" priority="68" operator="greaterThan">
      <formula>0</formula>
    </cfRule>
  </conditionalFormatting>
  <conditionalFormatting sqref="O143">
    <cfRule type="cellIs" dxfId="60" priority="67" operator="greaterThan">
      <formula>2</formula>
    </cfRule>
  </conditionalFormatting>
  <conditionalFormatting sqref="P146">
    <cfRule type="cellIs" dxfId="59" priority="66" operator="lessThan">
      <formula>0</formula>
    </cfRule>
  </conditionalFormatting>
  <conditionalFormatting sqref="H146">
    <cfRule type="cellIs" dxfId="58" priority="65" operator="lessThan">
      <formula>0</formula>
    </cfRule>
  </conditionalFormatting>
  <conditionalFormatting sqref="E146 G146">
    <cfRule type="cellIs" dxfId="57" priority="64" operator="greaterThan">
      <formula>0.8</formula>
    </cfRule>
  </conditionalFormatting>
  <conditionalFormatting sqref="K146">
    <cfRule type="cellIs" dxfId="56" priority="62" operator="greaterThan">
      <formula>0</formula>
    </cfRule>
    <cfRule type="cellIs" dxfId="55" priority="63" operator="greaterThan">
      <formula>1</formula>
    </cfRule>
  </conditionalFormatting>
  <conditionalFormatting sqref="N146">
    <cfRule type="cellIs" dxfId="54" priority="61" operator="greaterThan">
      <formula>0</formula>
    </cfRule>
  </conditionalFormatting>
  <conditionalFormatting sqref="O146">
    <cfRule type="cellIs" dxfId="53" priority="60" operator="greaterThan">
      <formula>2</formula>
    </cfRule>
  </conditionalFormatting>
  <conditionalFormatting sqref="P151">
    <cfRule type="cellIs" dxfId="52" priority="59" operator="lessThan">
      <formula>0</formula>
    </cfRule>
  </conditionalFormatting>
  <conditionalFormatting sqref="H151">
    <cfRule type="cellIs" dxfId="51" priority="58" operator="lessThan">
      <formula>0</formula>
    </cfRule>
  </conditionalFormatting>
  <conditionalFormatting sqref="E151 G151">
    <cfRule type="cellIs" dxfId="50" priority="57" operator="greaterThan">
      <formula>0.8</formula>
    </cfRule>
  </conditionalFormatting>
  <conditionalFormatting sqref="K151">
    <cfRule type="cellIs" dxfId="49" priority="55" operator="greaterThan">
      <formula>0</formula>
    </cfRule>
    <cfRule type="cellIs" dxfId="48" priority="56" operator="greaterThan">
      <formula>1</formula>
    </cfRule>
  </conditionalFormatting>
  <conditionalFormatting sqref="N151">
    <cfRule type="cellIs" dxfId="47" priority="54" operator="greaterThan">
      <formula>0</formula>
    </cfRule>
  </conditionalFormatting>
  <conditionalFormatting sqref="O151">
    <cfRule type="cellIs" dxfId="46" priority="53" operator="greaterThan">
      <formula>2</formula>
    </cfRule>
  </conditionalFormatting>
  <conditionalFormatting sqref="P154">
    <cfRule type="cellIs" dxfId="45" priority="52" operator="lessThan">
      <formula>0</formula>
    </cfRule>
  </conditionalFormatting>
  <conditionalFormatting sqref="H154">
    <cfRule type="cellIs" dxfId="44" priority="51" operator="lessThan">
      <formula>0</formula>
    </cfRule>
  </conditionalFormatting>
  <conditionalFormatting sqref="E154 G154">
    <cfRule type="cellIs" dxfId="43" priority="50" operator="greaterThan">
      <formula>0.8</formula>
    </cfRule>
  </conditionalFormatting>
  <conditionalFormatting sqref="K154">
    <cfRule type="cellIs" dxfId="42" priority="48" operator="greaterThan">
      <formula>0</formula>
    </cfRule>
    <cfRule type="cellIs" dxfId="41" priority="49" operator="greaterThan">
      <formula>1</formula>
    </cfRule>
  </conditionalFormatting>
  <conditionalFormatting sqref="N154">
    <cfRule type="cellIs" dxfId="40" priority="47" operator="greaterThan">
      <formula>0</formula>
    </cfRule>
  </conditionalFormatting>
  <conditionalFormatting sqref="O154">
    <cfRule type="cellIs" dxfId="39" priority="46" operator="greaterThan">
      <formula>2</formula>
    </cfRule>
  </conditionalFormatting>
  <conditionalFormatting sqref="P86">
    <cfRule type="cellIs" dxfId="38" priority="45" operator="lessThan">
      <formula>0</formula>
    </cfRule>
  </conditionalFormatting>
  <conditionalFormatting sqref="H86">
    <cfRule type="cellIs" dxfId="37" priority="44" operator="lessThan">
      <formula>0</formula>
    </cfRule>
  </conditionalFormatting>
  <conditionalFormatting sqref="E86 G86">
    <cfRule type="cellIs" dxfId="36" priority="43" operator="greaterThan">
      <formula>0.8</formula>
    </cfRule>
  </conditionalFormatting>
  <conditionalFormatting sqref="K86">
    <cfRule type="cellIs" dxfId="35" priority="41" operator="greaterThan">
      <formula>0</formula>
    </cfRule>
    <cfRule type="cellIs" dxfId="34" priority="42" operator="greaterThan">
      <formula>1</formula>
    </cfRule>
  </conditionalFormatting>
  <conditionalFormatting sqref="N86">
    <cfRule type="cellIs" dxfId="33" priority="40" operator="greaterThan">
      <formula>0</formula>
    </cfRule>
  </conditionalFormatting>
  <conditionalFormatting sqref="O86">
    <cfRule type="cellIs" dxfId="32" priority="39" operator="greaterThan">
      <formula>2</formula>
    </cfRule>
  </conditionalFormatting>
  <conditionalFormatting sqref="P72">
    <cfRule type="cellIs" dxfId="31" priority="38" operator="lessThan">
      <formula>0</formula>
    </cfRule>
  </conditionalFormatting>
  <conditionalFormatting sqref="H72">
    <cfRule type="cellIs" dxfId="30" priority="37" operator="lessThan">
      <formula>0</formula>
    </cfRule>
  </conditionalFormatting>
  <conditionalFormatting sqref="E72 G72">
    <cfRule type="cellIs" dxfId="29" priority="36" operator="greaterThan">
      <formula>0.8</formula>
    </cfRule>
  </conditionalFormatting>
  <conditionalFormatting sqref="K72">
    <cfRule type="cellIs" dxfId="28" priority="34" operator="greaterThan">
      <formula>0</formula>
    </cfRule>
    <cfRule type="cellIs" dxfId="27" priority="35" operator="greaterThan">
      <formula>1</formula>
    </cfRule>
  </conditionalFormatting>
  <conditionalFormatting sqref="N72">
    <cfRule type="cellIs" dxfId="26" priority="33" operator="greaterThan">
      <formula>0</formula>
    </cfRule>
  </conditionalFormatting>
  <conditionalFormatting sqref="O72">
    <cfRule type="cellIs" dxfId="25" priority="32" operator="greaterThan">
      <formula>2</formula>
    </cfRule>
  </conditionalFormatting>
  <conditionalFormatting sqref="P54">
    <cfRule type="cellIs" dxfId="24" priority="31" operator="lessThan">
      <formula>0</formula>
    </cfRule>
  </conditionalFormatting>
  <conditionalFormatting sqref="H54">
    <cfRule type="cellIs" dxfId="23" priority="30" operator="lessThan">
      <formula>0</formula>
    </cfRule>
  </conditionalFormatting>
  <conditionalFormatting sqref="E54 G54">
    <cfRule type="cellIs" dxfId="22" priority="29" operator="greaterThan">
      <formula>0.8</formula>
    </cfRule>
  </conditionalFormatting>
  <conditionalFormatting sqref="K54">
    <cfRule type="cellIs" dxfId="21" priority="27" operator="greaterThan">
      <formula>0</formula>
    </cfRule>
    <cfRule type="cellIs" dxfId="20" priority="28" operator="greaterThan">
      <formula>1</formula>
    </cfRule>
  </conditionalFormatting>
  <conditionalFormatting sqref="N54">
    <cfRule type="cellIs" dxfId="19" priority="26" operator="greaterThan">
      <formula>0</formula>
    </cfRule>
  </conditionalFormatting>
  <conditionalFormatting sqref="O54">
    <cfRule type="cellIs" dxfId="18" priority="25" operator="greaterThan">
      <formula>2</formula>
    </cfRule>
  </conditionalFormatting>
  <conditionalFormatting sqref="P35">
    <cfRule type="cellIs" dxfId="17" priority="24" operator="lessThan">
      <formula>0</formula>
    </cfRule>
  </conditionalFormatting>
  <conditionalFormatting sqref="H35">
    <cfRule type="cellIs" dxfId="16" priority="23" operator="lessThan">
      <formula>0</formula>
    </cfRule>
  </conditionalFormatting>
  <conditionalFormatting sqref="E35 G35">
    <cfRule type="cellIs" dxfId="15" priority="22" operator="greaterThan">
      <formula>0.8</formula>
    </cfRule>
  </conditionalFormatting>
  <conditionalFormatting sqref="K35">
    <cfRule type="cellIs" dxfId="14" priority="20" operator="greaterThan">
      <formula>0</formula>
    </cfRule>
    <cfRule type="cellIs" dxfId="13" priority="21" operator="greaterThan">
      <formula>1</formula>
    </cfRule>
  </conditionalFormatting>
  <conditionalFormatting sqref="N35">
    <cfRule type="cellIs" dxfId="12" priority="19" operator="greaterThan">
      <formula>0</formula>
    </cfRule>
  </conditionalFormatting>
  <conditionalFormatting sqref="O35">
    <cfRule type="cellIs" dxfId="11" priority="18" operator="greaterThan">
      <formula>2</formula>
    </cfRule>
  </conditionalFormatting>
  <conditionalFormatting sqref="P17">
    <cfRule type="cellIs" dxfId="10" priority="17" operator="lessThan">
      <formula>0</formula>
    </cfRule>
  </conditionalFormatting>
  <conditionalFormatting sqref="H17">
    <cfRule type="cellIs" dxfId="9" priority="16" operator="lessThan">
      <formula>0</formula>
    </cfRule>
  </conditionalFormatting>
  <conditionalFormatting sqref="E17 G17">
    <cfRule type="cellIs" dxfId="8" priority="15" operator="greaterThan">
      <formula>0.8</formula>
    </cfRule>
  </conditionalFormatting>
  <conditionalFormatting sqref="K17">
    <cfRule type="cellIs" dxfId="7" priority="13" operator="greaterThan">
      <formula>0</formula>
    </cfRule>
    <cfRule type="cellIs" dxfId="6" priority="14" operator="greaterThan">
      <formula>1</formula>
    </cfRule>
  </conditionalFormatting>
  <conditionalFormatting sqref="N17">
    <cfRule type="cellIs" dxfId="5" priority="12" operator="greaterThan">
      <formula>0</formula>
    </cfRule>
  </conditionalFormatting>
  <conditionalFormatting sqref="O17">
    <cfRule type="cellIs" dxfId="4" priority="11" operator="greaterThan">
      <formula>2</formula>
    </cfRule>
  </conditionalFormatting>
  <conditionalFormatting sqref="H5">
    <cfRule type="cellIs" dxfId="3" priority="9" operator="lessThan">
      <formula>0</formula>
    </cfRule>
  </conditionalFormatting>
  <conditionalFormatting sqref="H135:J142">
    <cfRule type="cellIs" dxfId="2" priority="3" operator="lessThan">
      <formula>0</formula>
    </cfRule>
  </conditionalFormatting>
  <conditionalFormatting sqref="L135:M142">
    <cfRule type="cellIs" dxfId="1" priority="2" operator="lessThan">
      <formula>0</formula>
    </cfRule>
  </conditionalFormatting>
  <conditionalFormatting sqref="H148:H150">
    <cfRule type="cellIs" dxfId="0" priority="1" operator="lessThan">
      <formula>0</formula>
    </cfRule>
  </conditionalFormatting>
  <pageMargins left="0.7" right="0.7" top="0.75" bottom="0.75" header="0.3" footer="0.3"/>
  <pageSetup paperSize="9" scale="87" orientation="portrait" r:id="rId1"/>
  <colBreaks count="2" manualBreakCount="2">
    <brk id="6" max="1048575" man="1"/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Akrachkova</dc:creator>
  <cp:lastModifiedBy>user</cp:lastModifiedBy>
  <dcterms:created xsi:type="dcterms:W3CDTF">2023-02-16T12:18:48Z</dcterms:created>
  <dcterms:modified xsi:type="dcterms:W3CDTF">2023-05-30T12:19:10Z</dcterms:modified>
</cp:coreProperties>
</file>